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010" windowWidth="16220" windowHeight="7110"/>
  </bookViews>
  <sheets>
    <sheet name="Financials " sheetId="1" r:id="rId1"/>
    <sheet name="Funds on Hand to Date" sheetId="6" r:id="rId2"/>
    <sheet name="Cash flow report through year" sheetId="3" r:id="rId3"/>
    <sheet name="12 week burn of expenses" sheetId="5" state="hidden" r:id="rId4"/>
  </sheets>
  <definedNames>
    <definedName name="_xlnm.Print_Titles" localSheetId="0">'Financials '!$5:$7</definedName>
  </definedNames>
  <calcPr calcId="145621"/>
</workbook>
</file>

<file path=xl/calcChain.xml><?xml version="1.0" encoding="utf-8"?>
<calcChain xmlns="http://schemas.openxmlformats.org/spreadsheetml/2006/main">
  <c r="M95" i="1" l="1"/>
  <c r="K135" i="1" l="1"/>
  <c r="K130" i="1"/>
  <c r="F14" i="1" l="1"/>
  <c r="F19" i="1"/>
  <c r="F39" i="1"/>
  <c r="F60" i="1"/>
  <c r="F66" i="1"/>
  <c r="F72" i="1"/>
  <c r="F77" i="1"/>
  <c r="F81" i="1"/>
  <c r="F85" i="1"/>
  <c r="F90" i="1"/>
  <c r="F95" i="1"/>
  <c r="F98" i="1"/>
  <c r="F10" i="1" s="1"/>
  <c r="F99" i="1"/>
  <c r="F11" i="1" s="1"/>
  <c r="F110" i="1"/>
  <c r="F116" i="1"/>
  <c r="F123" i="1"/>
  <c r="F130" i="1"/>
  <c r="F133" i="1"/>
  <c r="F136" i="1" s="1"/>
  <c r="F134" i="1"/>
  <c r="F15" i="1" s="1"/>
  <c r="F135" i="1"/>
  <c r="F144" i="1"/>
  <c r="F165" i="1" s="1"/>
  <c r="F148" i="1"/>
  <c r="F152" i="1"/>
  <c r="F156" i="1"/>
  <c r="F160" i="1"/>
  <c r="F163" i="1"/>
  <c r="F18" i="1" s="1"/>
  <c r="F20" i="1" s="1"/>
  <c r="F164" i="1"/>
  <c r="F173" i="1"/>
  <c r="F178" i="1"/>
  <c r="F183" i="1"/>
  <c r="F187" i="1"/>
  <c r="F191" i="1"/>
  <c r="F195" i="1"/>
  <c r="F203" i="1"/>
  <c r="F206" i="1"/>
  <c r="F22" i="1" s="1"/>
  <c r="F207" i="1"/>
  <c r="F23" i="1" s="1"/>
  <c r="F208" i="1"/>
  <c r="F215" i="1"/>
  <c r="F219" i="1"/>
  <c r="F223" i="1"/>
  <c r="F226" i="1"/>
  <c r="F30" i="1" s="1"/>
  <c r="F32" i="1" s="1"/>
  <c r="F227" i="1"/>
  <c r="F31" i="1" s="1"/>
  <c r="F246" i="1"/>
  <c r="F278" i="1"/>
  <c r="F37" i="1" s="1"/>
  <c r="F292" i="1"/>
  <c r="F297" i="1"/>
  <c r="F317" i="1"/>
  <c r="F322" i="1"/>
  <c r="F327" i="1"/>
  <c r="F332" i="1"/>
  <c r="F337" i="1"/>
  <c r="F341" i="1"/>
  <c r="F343" i="1"/>
  <c r="F344" i="1"/>
  <c r="F345" i="1"/>
  <c r="F346" i="1"/>
  <c r="F34" i="1" l="1"/>
  <c r="F12" i="1"/>
  <c r="F24" i="1"/>
  <c r="F35" i="1"/>
  <c r="F16" i="1"/>
  <c r="F229" i="1"/>
  <c r="F100" i="1"/>
  <c r="F36" i="1" l="1"/>
  <c r="F42" i="1" l="1"/>
  <c r="F45" i="1"/>
  <c r="F47" i="1" s="1"/>
  <c r="B5" i="3" l="1"/>
  <c r="B7" i="3" s="1"/>
  <c r="K15" i="1"/>
  <c r="K133" i="1"/>
  <c r="K14" i="1" s="1"/>
  <c r="M85" i="1"/>
  <c r="M187" i="1"/>
  <c r="M144" i="1"/>
  <c r="B7" i="6"/>
  <c r="M343" i="1"/>
  <c r="M346" i="1" s="1"/>
  <c r="M337" i="1"/>
  <c r="M327" i="1"/>
  <c r="M322" i="1"/>
  <c r="M312" i="1"/>
  <c r="M278" i="1"/>
  <c r="M37" i="1" s="1"/>
  <c r="M246" i="1"/>
  <c r="M39" i="1" s="1"/>
  <c r="M227" i="1"/>
  <c r="M31" i="1"/>
  <c r="M226" i="1"/>
  <c r="M229" i="1" s="1"/>
  <c r="M223" i="1"/>
  <c r="M219" i="1"/>
  <c r="M215" i="1"/>
  <c r="M207" i="1"/>
  <c r="M23" i="1" s="1"/>
  <c r="M203" i="1"/>
  <c r="M191" i="1"/>
  <c r="M183" i="1"/>
  <c r="M178" i="1"/>
  <c r="M173" i="1"/>
  <c r="M164" i="1"/>
  <c r="M19" i="1" s="1"/>
  <c r="M163" i="1"/>
  <c r="M18" i="1" s="1"/>
  <c r="M160" i="1"/>
  <c r="M156" i="1"/>
  <c r="M152" i="1"/>
  <c r="M148" i="1"/>
  <c r="M135" i="1"/>
  <c r="M15" i="1" s="1"/>
  <c r="M133" i="1"/>
  <c r="M14" i="1" s="1"/>
  <c r="M130" i="1"/>
  <c r="M123" i="1"/>
  <c r="M116" i="1"/>
  <c r="M110" i="1"/>
  <c r="M99" i="1"/>
  <c r="M11" i="1" s="1"/>
  <c r="M98" i="1"/>
  <c r="M10" i="1" s="1"/>
  <c r="M81" i="1"/>
  <c r="M77" i="1"/>
  <c r="M72" i="1"/>
  <c r="M66" i="1"/>
  <c r="M60" i="1"/>
  <c r="K60" i="1"/>
  <c r="K66" i="1"/>
  <c r="K72" i="1"/>
  <c r="K77" i="1"/>
  <c r="K81" i="1"/>
  <c r="K85" i="1"/>
  <c r="K95" i="1"/>
  <c r="K98" i="1"/>
  <c r="K10" i="1" s="1"/>
  <c r="K99" i="1"/>
  <c r="K11" i="1" s="1"/>
  <c r="K110" i="1"/>
  <c r="K116" i="1"/>
  <c r="K123" i="1"/>
  <c r="K144" i="1"/>
  <c r="K148" i="1"/>
  <c r="K152" i="1"/>
  <c r="K156" i="1"/>
  <c r="K160" i="1"/>
  <c r="K163" i="1"/>
  <c r="K18" i="1" s="1"/>
  <c r="K164" i="1"/>
  <c r="K19" i="1" s="1"/>
  <c r="K173" i="1"/>
  <c r="K178" i="1"/>
  <c r="K183" i="1"/>
  <c r="K187" i="1"/>
  <c r="K191" i="1"/>
  <c r="K195" i="1"/>
  <c r="K199" i="1"/>
  <c r="K203" i="1"/>
  <c r="K206" i="1"/>
  <c r="K22" i="1" s="1"/>
  <c r="K207" i="1"/>
  <c r="K23" i="1" s="1"/>
  <c r="K215" i="1"/>
  <c r="K219" i="1"/>
  <c r="K223" i="1"/>
  <c r="K226" i="1"/>
  <c r="K30" i="1" s="1"/>
  <c r="K227" i="1"/>
  <c r="K31" i="1" s="1"/>
  <c r="K246" i="1"/>
  <c r="K39" i="1" s="1"/>
  <c r="K278" i="1"/>
  <c r="K37" i="1" s="1"/>
  <c r="K292" i="1"/>
  <c r="K297" i="1"/>
  <c r="K312" i="1"/>
  <c r="K317" i="1"/>
  <c r="K327" i="1"/>
  <c r="K332" i="1"/>
  <c r="K341" i="1"/>
  <c r="K343" i="1"/>
  <c r="K344" i="1"/>
  <c r="M30" i="1"/>
  <c r="M206" i="1"/>
  <c r="M195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G278" i="1"/>
  <c r="G37" i="1" s="1"/>
  <c r="G246" i="1"/>
  <c r="G39" i="1" s="1"/>
  <c r="G343" i="1"/>
  <c r="G346" i="1" s="1"/>
  <c r="G337" i="1"/>
  <c r="G332" i="1"/>
  <c r="G327" i="1"/>
  <c r="G322" i="1"/>
  <c r="G312" i="1"/>
  <c r="G227" i="1"/>
  <c r="G31" i="1"/>
  <c r="G226" i="1"/>
  <c r="G223" i="1"/>
  <c r="G219" i="1"/>
  <c r="G215" i="1"/>
  <c r="G203" i="1"/>
  <c r="G194" i="1"/>
  <c r="G207" i="1" s="1"/>
  <c r="G23" i="1" s="1"/>
  <c r="G191" i="1"/>
  <c r="G183" i="1"/>
  <c r="G173" i="1"/>
  <c r="G164" i="1"/>
  <c r="G19" i="1" s="1"/>
  <c r="G163" i="1"/>
  <c r="G18" i="1" s="1"/>
  <c r="G160" i="1"/>
  <c r="G156" i="1"/>
  <c r="G152" i="1"/>
  <c r="G148" i="1"/>
  <c r="G135" i="1"/>
  <c r="G15" i="1" s="1"/>
  <c r="G133" i="1"/>
  <c r="G14" i="1" s="1"/>
  <c r="G130" i="1"/>
  <c r="G123" i="1"/>
  <c r="G116" i="1"/>
  <c r="G110" i="1"/>
  <c r="G99" i="1"/>
  <c r="G11" i="1" s="1"/>
  <c r="G98" i="1"/>
  <c r="G10" i="1" s="1"/>
  <c r="G81" i="1"/>
  <c r="G77" i="1"/>
  <c r="G66" i="1"/>
  <c r="G60" i="1"/>
  <c r="G100" i="1"/>
  <c r="G30" i="1"/>
  <c r="H123" i="1"/>
  <c r="H116" i="1"/>
  <c r="H194" i="1"/>
  <c r="H207" i="1" s="1"/>
  <c r="H23" i="1" s="1"/>
  <c r="H343" i="1"/>
  <c r="H346" i="1" s="1"/>
  <c r="H135" i="1"/>
  <c r="H178" i="1"/>
  <c r="H152" i="1"/>
  <c r="J297" i="1"/>
  <c r="J66" i="1"/>
  <c r="H148" i="1"/>
  <c r="E345" i="1"/>
  <c r="E344" i="1"/>
  <c r="E343" i="1"/>
  <c r="E341" i="1"/>
  <c r="E337" i="1"/>
  <c r="E332" i="1"/>
  <c r="E327" i="1"/>
  <c r="E322" i="1"/>
  <c r="E317" i="1"/>
  <c r="E312" i="1"/>
  <c r="E297" i="1"/>
  <c r="E292" i="1"/>
  <c r="E278" i="1"/>
  <c r="E37" i="1" s="1"/>
  <c r="E246" i="1"/>
  <c r="E39" i="1" s="1"/>
  <c r="E227" i="1"/>
  <c r="E31" i="1" s="1"/>
  <c r="E226" i="1"/>
  <c r="E223" i="1"/>
  <c r="E219" i="1"/>
  <c r="E215" i="1"/>
  <c r="E207" i="1"/>
  <c r="E23" i="1" s="1"/>
  <c r="E206" i="1"/>
  <c r="E208" i="1" s="1"/>
  <c r="E203" i="1"/>
  <c r="E199" i="1"/>
  <c r="E195" i="1"/>
  <c r="E191" i="1"/>
  <c r="E187" i="1"/>
  <c r="E183" i="1"/>
  <c r="E178" i="1"/>
  <c r="E164" i="1"/>
  <c r="E19" i="1" s="1"/>
  <c r="E163" i="1"/>
  <c r="E160" i="1"/>
  <c r="E156" i="1"/>
  <c r="E152" i="1"/>
  <c r="E148" i="1"/>
  <c r="E144" i="1"/>
  <c r="E135" i="1"/>
  <c r="E15" i="1" s="1"/>
  <c r="E133" i="1"/>
  <c r="E14" i="1" s="1"/>
  <c r="E130" i="1"/>
  <c r="E123" i="1"/>
  <c r="E116" i="1"/>
  <c r="E110" i="1"/>
  <c r="E99" i="1"/>
  <c r="E11" i="1" s="1"/>
  <c r="E98" i="1"/>
  <c r="E10" i="1" s="1"/>
  <c r="E95" i="1"/>
  <c r="E90" i="1"/>
  <c r="E85" i="1"/>
  <c r="E81" i="1"/>
  <c r="E77" i="1"/>
  <c r="E72" i="1"/>
  <c r="E66" i="1"/>
  <c r="E60" i="1"/>
  <c r="E30" i="1"/>
  <c r="E18" i="1"/>
  <c r="J345" i="1"/>
  <c r="J344" i="1"/>
  <c r="J343" i="1"/>
  <c r="J341" i="1"/>
  <c r="J337" i="1"/>
  <c r="J332" i="1"/>
  <c r="J327" i="1"/>
  <c r="J322" i="1"/>
  <c r="J317" i="1"/>
  <c r="J312" i="1"/>
  <c r="J307" i="1"/>
  <c r="J302" i="1"/>
  <c r="J292" i="1"/>
  <c r="J287" i="1"/>
  <c r="J278" i="1"/>
  <c r="J37" i="1" s="1"/>
  <c r="J246" i="1"/>
  <c r="J39" i="1" s="1"/>
  <c r="J227" i="1"/>
  <c r="J31" i="1" s="1"/>
  <c r="J226" i="1"/>
  <c r="J30" i="1" s="1"/>
  <c r="J223" i="1"/>
  <c r="J219" i="1"/>
  <c r="J215" i="1"/>
  <c r="J207" i="1"/>
  <c r="J206" i="1"/>
  <c r="J22" i="1" s="1"/>
  <c r="J203" i="1"/>
  <c r="J199" i="1"/>
  <c r="J195" i="1"/>
  <c r="J191" i="1"/>
  <c r="J187" i="1"/>
  <c r="J183" i="1"/>
  <c r="J178" i="1"/>
  <c r="J173" i="1"/>
  <c r="J164" i="1"/>
  <c r="J19" i="1" s="1"/>
  <c r="J163" i="1"/>
  <c r="J18" i="1" s="1"/>
  <c r="J160" i="1"/>
  <c r="J156" i="1"/>
  <c r="J152" i="1"/>
  <c r="J148" i="1"/>
  <c r="J144" i="1"/>
  <c r="J135" i="1"/>
  <c r="J15" i="1" s="1"/>
  <c r="J133" i="1"/>
  <c r="J14" i="1" s="1"/>
  <c r="J130" i="1"/>
  <c r="J123" i="1"/>
  <c r="J116" i="1"/>
  <c r="J110" i="1"/>
  <c r="J99" i="1"/>
  <c r="J11" i="1" s="1"/>
  <c r="J98" i="1"/>
  <c r="J10" i="1" s="1"/>
  <c r="J95" i="1"/>
  <c r="J90" i="1"/>
  <c r="J85" i="1"/>
  <c r="J81" i="1"/>
  <c r="J77" i="1"/>
  <c r="J72" i="1"/>
  <c r="J60" i="1"/>
  <c r="J28" i="1"/>
  <c r="H227" i="1"/>
  <c r="H31" i="1" s="1"/>
  <c r="H32" i="1" s="1"/>
  <c r="H226" i="1"/>
  <c r="H72" i="1"/>
  <c r="D12" i="1"/>
  <c r="D16" i="1"/>
  <c r="D20" i="1"/>
  <c r="D24" i="1"/>
  <c r="D28" i="1"/>
  <c r="D32" i="1"/>
  <c r="D34" i="1"/>
  <c r="D35" i="1"/>
  <c r="C47" i="1"/>
  <c r="C49" i="1" s="1"/>
  <c r="D49" i="1"/>
  <c r="H15" i="1"/>
  <c r="H133" i="1"/>
  <c r="H14" i="1" s="1"/>
  <c r="H130" i="1"/>
  <c r="H156" i="1"/>
  <c r="D345" i="1"/>
  <c r="C345" i="1"/>
  <c r="B345" i="1"/>
  <c r="D344" i="1"/>
  <c r="C344" i="1"/>
  <c r="B344" i="1"/>
  <c r="D343" i="1"/>
  <c r="C343" i="1"/>
  <c r="B343" i="1"/>
  <c r="D341" i="1"/>
  <c r="C341" i="1"/>
  <c r="B341" i="1"/>
  <c r="H337" i="1"/>
  <c r="D337" i="1"/>
  <c r="C337" i="1"/>
  <c r="B337" i="1"/>
  <c r="H332" i="1"/>
  <c r="D332" i="1"/>
  <c r="C332" i="1"/>
  <c r="B332" i="1"/>
  <c r="H327" i="1"/>
  <c r="D327" i="1"/>
  <c r="C327" i="1"/>
  <c r="B327" i="1"/>
  <c r="H322" i="1"/>
  <c r="D322" i="1"/>
  <c r="C322" i="1"/>
  <c r="B322" i="1"/>
  <c r="D317" i="1"/>
  <c r="C317" i="1"/>
  <c r="B317" i="1"/>
  <c r="H312" i="1"/>
  <c r="D312" i="1"/>
  <c r="C312" i="1"/>
  <c r="B312" i="1"/>
  <c r="D307" i="1"/>
  <c r="C307" i="1"/>
  <c r="B307" i="1"/>
  <c r="D302" i="1"/>
  <c r="C302" i="1"/>
  <c r="B302" i="1"/>
  <c r="D297" i="1"/>
  <c r="C297" i="1"/>
  <c r="B297" i="1"/>
  <c r="D292" i="1"/>
  <c r="C292" i="1"/>
  <c r="B292" i="1"/>
  <c r="D287" i="1"/>
  <c r="C287" i="1"/>
  <c r="B287" i="1"/>
  <c r="H278" i="1"/>
  <c r="H37" i="1" s="1"/>
  <c r="D278" i="1"/>
  <c r="C278" i="1"/>
  <c r="B278" i="1"/>
  <c r="H246" i="1"/>
  <c r="H39" i="1" s="1"/>
  <c r="D246" i="1"/>
  <c r="C246" i="1"/>
  <c r="C39" i="1" s="1"/>
  <c r="B246" i="1"/>
  <c r="B39" i="1" s="1"/>
  <c r="D227" i="1"/>
  <c r="D229" i="1" s="1"/>
  <c r="C227" i="1"/>
  <c r="C31" i="1" s="1"/>
  <c r="B227" i="1"/>
  <c r="B31" i="1" s="1"/>
  <c r="D226" i="1"/>
  <c r="C226" i="1"/>
  <c r="C30" i="1" s="1"/>
  <c r="B226" i="1"/>
  <c r="B30" i="1" s="1"/>
  <c r="H223" i="1"/>
  <c r="D223" i="1"/>
  <c r="C223" i="1"/>
  <c r="B223" i="1"/>
  <c r="H219" i="1"/>
  <c r="D219" i="1"/>
  <c r="C219" i="1"/>
  <c r="B219" i="1"/>
  <c r="H215" i="1"/>
  <c r="D215" i="1"/>
  <c r="C215" i="1"/>
  <c r="B215" i="1"/>
  <c r="D207" i="1"/>
  <c r="C207" i="1"/>
  <c r="C23" i="1"/>
  <c r="B207" i="1"/>
  <c r="B23" i="1" s="1"/>
  <c r="D206" i="1"/>
  <c r="C206" i="1"/>
  <c r="C22" i="1" s="1"/>
  <c r="B206" i="1"/>
  <c r="B22" i="1" s="1"/>
  <c r="H203" i="1"/>
  <c r="D203" i="1"/>
  <c r="C203" i="1"/>
  <c r="B203" i="1"/>
  <c r="D199" i="1"/>
  <c r="C199" i="1"/>
  <c r="B199" i="1"/>
  <c r="D195" i="1"/>
  <c r="C195" i="1"/>
  <c r="B195" i="1"/>
  <c r="H191" i="1"/>
  <c r="D191" i="1"/>
  <c r="C191" i="1"/>
  <c r="B191" i="1"/>
  <c r="D187" i="1"/>
  <c r="C187" i="1"/>
  <c r="B187" i="1"/>
  <c r="H183" i="1"/>
  <c r="D183" i="1"/>
  <c r="C183" i="1"/>
  <c r="B183" i="1"/>
  <c r="D178" i="1"/>
  <c r="C178" i="1"/>
  <c r="B178" i="1"/>
  <c r="H173" i="1"/>
  <c r="D173" i="1"/>
  <c r="C173" i="1"/>
  <c r="B173" i="1"/>
  <c r="H164" i="1"/>
  <c r="H19" i="1"/>
  <c r="D164" i="1"/>
  <c r="C164" i="1"/>
  <c r="C19" i="1" s="1"/>
  <c r="B164" i="1"/>
  <c r="B19" i="1" s="1"/>
  <c r="H163" i="1"/>
  <c r="H18" i="1" s="1"/>
  <c r="D163" i="1"/>
  <c r="C163" i="1"/>
  <c r="C18" i="1" s="1"/>
  <c r="B163" i="1"/>
  <c r="B18" i="1"/>
  <c r="H160" i="1"/>
  <c r="D160" i="1"/>
  <c r="C160" i="1"/>
  <c r="B160" i="1"/>
  <c r="D156" i="1"/>
  <c r="C156" i="1"/>
  <c r="B156" i="1"/>
  <c r="D152" i="1"/>
  <c r="C152" i="1"/>
  <c r="B152" i="1"/>
  <c r="D148" i="1"/>
  <c r="C148" i="1"/>
  <c r="B148" i="1"/>
  <c r="D144" i="1"/>
  <c r="C144" i="1"/>
  <c r="B144" i="1"/>
  <c r="D135" i="1"/>
  <c r="C135" i="1"/>
  <c r="C15" i="1" s="1"/>
  <c r="B135" i="1"/>
  <c r="B15" i="1" s="1"/>
  <c r="D133" i="1"/>
  <c r="C133" i="1"/>
  <c r="C14" i="1" s="1"/>
  <c r="B133" i="1"/>
  <c r="B14" i="1" s="1"/>
  <c r="D130" i="1"/>
  <c r="C130" i="1"/>
  <c r="B130" i="1"/>
  <c r="D123" i="1"/>
  <c r="C123" i="1"/>
  <c r="B123" i="1"/>
  <c r="D116" i="1"/>
  <c r="C116" i="1"/>
  <c r="B116" i="1"/>
  <c r="H110" i="1"/>
  <c r="D110" i="1"/>
  <c r="C110" i="1"/>
  <c r="B110" i="1"/>
  <c r="H99" i="1"/>
  <c r="H11" i="1" s="1"/>
  <c r="D99" i="1"/>
  <c r="C99" i="1"/>
  <c r="C11" i="1" s="1"/>
  <c r="B99" i="1"/>
  <c r="B11" i="1" s="1"/>
  <c r="H98" i="1"/>
  <c r="H10" i="1" s="1"/>
  <c r="D98" i="1"/>
  <c r="D100" i="1" s="1"/>
  <c r="C98" i="1"/>
  <c r="B98" i="1"/>
  <c r="B10" i="1" s="1"/>
  <c r="D95" i="1"/>
  <c r="C95" i="1"/>
  <c r="B95" i="1"/>
  <c r="D90" i="1"/>
  <c r="C90" i="1"/>
  <c r="B90" i="1"/>
  <c r="D85" i="1"/>
  <c r="C85" i="1"/>
  <c r="B85" i="1"/>
  <c r="H81" i="1"/>
  <c r="D81" i="1"/>
  <c r="C81" i="1"/>
  <c r="B81" i="1"/>
  <c r="H77" i="1"/>
  <c r="D77" i="1"/>
  <c r="C77" i="1"/>
  <c r="B77" i="1"/>
  <c r="D72" i="1"/>
  <c r="C72" i="1"/>
  <c r="B72" i="1"/>
  <c r="H66" i="1"/>
  <c r="D66" i="1"/>
  <c r="C66" i="1"/>
  <c r="B66" i="1"/>
  <c r="H60" i="1"/>
  <c r="D60" i="1"/>
  <c r="C60" i="1"/>
  <c r="B60" i="1"/>
  <c r="C165" i="1"/>
  <c r="H100" i="1" l="1"/>
  <c r="C16" i="1"/>
  <c r="C346" i="1"/>
  <c r="D136" i="1"/>
  <c r="K136" i="1"/>
  <c r="C100" i="1"/>
  <c r="B136" i="1"/>
  <c r="B208" i="1"/>
  <c r="D165" i="1"/>
  <c r="D208" i="1"/>
  <c r="H16" i="1"/>
  <c r="G229" i="1"/>
  <c r="E32" i="1"/>
  <c r="M208" i="1"/>
  <c r="C208" i="1"/>
  <c r="H35" i="1"/>
  <c r="B32" i="1"/>
  <c r="E136" i="1"/>
  <c r="E12" i="1"/>
  <c r="C20" i="1"/>
  <c r="G32" i="1"/>
  <c r="C136" i="1"/>
  <c r="B16" i="1"/>
  <c r="B24" i="1"/>
  <c r="D346" i="1"/>
  <c r="E165" i="1"/>
  <c r="G193" i="1"/>
  <c r="G195" i="1" s="1"/>
  <c r="K32" i="1"/>
  <c r="C32" i="1"/>
  <c r="E35" i="1"/>
  <c r="E16" i="1"/>
  <c r="C229" i="1"/>
  <c r="G136" i="1"/>
  <c r="K24" i="1"/>
  <c r="M32" i="1"/>
  <c r="H229" i="1"/>
  <c r="H20" i="1"/>
  <c r="C24" i="1"/>
  <c r="H165" i="1"/>
  <c r="E22" i="1"/>
  <c r="E24" i="1" s="1"/>
  <c r="E229" i="1"/>
  <c r="E100" i="1"/>
  <c r="G206" i="1"/>
  <c r="G22" i="1" s="1"/>
  <c r="G24" i="1" s="1"/>
  <c r="K229" i="1"/>
  <c r="K346" i="1"/>
  <c r="K12" i="1"/>
  <c r="M165" i="1"/>
  <c r="B346" i="1"/>
  <c r="K35" i="1"/>
  <c r="C10" i="1"/>
  <c r="C34" i="1" s="1"/>
  <c r="B229" i="1"/>
  <c r="B35" i="1"/>
  <c r="D36" i="1"/>
  <c r="D42" i="1" s="1"/>
  <c r="J165" i="1"/>
  <c r="J208" i="1"/>
  <c r="E34" i="1"/>
  <c r="E346" i="1"/>
  <c r="H136" i="1"/>
  <c r="G165" i="1"/>
  <c r="K20" i="1"/>
  <c r="K165" i="1"/>
  <c r="B34" i="1"/>
  <c r="B36" i="1" s="1"/>
  <c r="B20" i="1"/>
  <c r="C35" i="1"/>
  <c r="G16" i="1"/>
  <c r="G12" i="1"/>
  <c r="G20" i="1"/>
  <c r="H12" i="1"/>
  <c r="D45" i="1"/>
  <c r="G35" i="1"/>
  <c r="M20" i="1"/>
  <c r="B12" i="1"/>
  <c r="J229" i="1"/>
  <c r="E20" i="1"/>
  <c r="J20" i="1"/>
  <c r="H193" i="1"/>
  <c r="K100" i="1"/>
  <c r="K16" i="1"/>
  <c r="B100" i="1"/>
  <c r="B165" i="1"/>
  <c r="K208" i="1"/>
  <c r="M22" i="1"/>
  <c r="M34" i="1" s="1"/>
  <c r="M12" i="1"/>
  <c r="M100" i="1"/>
  <c r="M136" i="1"/>
  <c r="M16" i="1"/>
  <c r="K34" i="1"/>
  <c r="J346" i="1"/>
  <c r="J32" i="1"/>
  <c r="J23" i="1"/>
  <c r="J24" i="1" s="1"/>
  <c r="J136" i="1"/>
  <c r="J16" i="1"/>
  <c r="J34" i="1"/>
  <c r="J12" i="1"/>
  <c r="J100" i="1"/>
  <c r="K36" i="1" l="1"/>
  <c r="K42" i="1" s="1"/>
  <c r="K45" i="1" s="1"/>
  <c r="K47" i="1" s="1"/>
  <c r="E36" i="1"/>
  <c r="E45" i="1" s="1"/>
  <c r="E47" i="1" s="1"/>
  <c r="G34" i="1"/>
  <c r="G36" i="1" s="1"/>
  <c r="G42" i="1" s="1"/>
  <c r="G45" i="1" s="1"/>
  <c r="G47" i="1" s="1"/>
  <c r="C36" i="1"/>
  <c r="C45" i="1" s="1"/>
  <c r="G208" i="1"/>
  <c r="M24" i="1"/>
  <c r="C12" i="1"/>
  <c r="B45" i="1"/>
  <c r="B42" i="1"/>
  <c r="B47" i="1" s="1"/>
  <c r="B49" i="1" s="1"/>
  <c r="H206" i="1"/>
  <c r="H195" i="1"/>
  <c r="C42" i="1"/>
  <c r="M35" i="1"/>
  <c r="J35" i="1"/>
  <c r="J36" i="1" s="1"/>
  <c r="J42" i="1" s="1"/>
  <c r="J45" i="1" s="1"/>
  <c r="J47" i="1" s="1"/>
  <c r="M36" i="1" l="1"/>
  <c r="M42" i="1" s="1"/>
  <c r="M45" i="1" s="1"/>
  <c r="M47" i="1" s="1"/>
  <c r="H22" i="1"/>
  <c r="H208" i="1"/>
  <c r="H24" i="1" l="1"/>
  <c r="H34" i="1"/>
  <c r="H36" i="1" s="1"/>
  <c r="H42" i="1" s="1"/>
  <c r="H45" i="1" s="1"/>
  <c r="H47" i="1" s="1"/>
</calcChain>
</file>

<file path=xl/comments1.xml><?xml version="1.0" encoding="utf-8"?>
<comments xmlns="http://schemas.openxmlformats.org/spreadsheetml/2006/main">
  <authors>
    <author>Cathleen Andreucci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This category includes Cotillion, ballet, tot, teens and bdays.
</t>
        </r>
      </text>
    </comment>
  </commentList>
</comments>
</file>

<file path=xl/sharedStrings.xml><?xml version="1.0" encoding="utf-8"?>
<sst xmlns="http://schemas.openxmlformats.org/spreadsheetml/2006/main" count="539" uniqueCount="292">
  <si>
    <t>THE RANCH -  BELVEDERE-TIBURON JOINT RECREATION COMMITTEE</t>
  </si>
  <si>
    <t>Yr End</t>
  </si>
  <si>
    <t xml:space="preserve">Yr End </t>
  </si>
  <si>
    <t>Budget</t>
  </si>
  <si>
    <t>Actuals</t>
  </si>
  <si>
    <t>Projections</t>
  </si>
  <si>
    <t>FY 16-17</t>
  </si>
  <si>
    <t>FY 17-18</t>
  </si>
  <si>
    <t>FY 18-19</t>
  </si>
  <si>
    <t>FY 19-20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</si>
  <si>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</si>
  <si>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</si>
  <si>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</si>
  <si>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</si>
  <si>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</si>
  <si>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</si>
  <si>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</si>
  <si>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</si>
  <si>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</si>
  <si>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</si>
  <si>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</si>
  <si>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</si>
  <si>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</si>
  <si>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</si>
  <si>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</si>
  <si>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</si>
  <si>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</si>
  <si>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</si>
  <si>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</si>
  <si>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</si>
  <si>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</si>
  <si>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</si>
  <si>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</si>
  <si>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</si>
  <si>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</si>
  <si>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</si>
  <si>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</si>
  <si>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Academy Supervision</t>
  </si>
  <si>
    <t>Net Academy III</t>
  </si>
  <si>
    <t xml:space="preserve">Academy Revenues           </t>
  </si>
  <si>
    <t xml:space="preserve">Net Academy I   </t>
  </si>
  <si>
    <t>Net Academy II</t>
  </si>
  <si>
    <t>Ballet Program Revenue</t>
  </si>
  <si>
    <t>Ballet Program Expense</t>
  </si>
  <si>
    <t>Net Ballet Program</t>
  </si>
  <si>
    <t>Toddler Revenue</t>
  </si>
  <si>
    <t>Toddler Expense</t>
  </si>
  <si>
    <t>Net Toddler Program</t>
  </si>
  <si>
    <t>Net Teen Zone Program</t>
  </si>
  <si>
    <t>Birthday/Coorporate Revenue</t>
  </si>
  <si>
    <t>Birthday/Coorporate Expense</t>
  </si>
  <si>
    <t>Net Wknd Party Program</t>
  </si>
  <si>
    <t>Cotillion Program Revenue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</si>
  <si>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</si>
  <si>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</si>
  <si>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</si>
  <si>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</si>
  <si>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</si>
  <si>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</si>
  <si>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</si>
  <si>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Spring</t>
  </si>
  <si>
    <t>Spring/Summer</t>
  </si>
  <si>
    <t>Adult Revenue</t>
  </si>
  <si>
    <t>Adult Supervision</t>
  </si>
  <si>
    <t xml:space="preserve">Net Spring </t>
  </si>
  <si>
    <t>Adult Summer</t>
  </si>
  <si>
    <t>Adult Revenues</t>
  </si>
  <si>
    <t xml:space="preserve">Net Summer </t>
  </si>
  <si>
    <t>Fall/Winter</t>
  </si>
  <si>
    <t>Adult Fall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</si>
  <si>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</si>
  <si>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</si>
  <si>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</si>
  <si>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</si>
  <si>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</si>
  <si>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</si>
  <si>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</si>
  <si>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</si>
  <si>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</si>
  <si>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</si>
  <si>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</si>
  <si>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</si>
  <si>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</si>
  <si>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</si>
  <si>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</si>
  <si>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</si>
  <si>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</si>
  <si>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</si>
  <si>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</si>
  <si>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</si>
  <si>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</si>
  <si>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</si>
  <si>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</si>
  <si>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</si>
  <si>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</si>
  <si>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</si>
  <si>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</si>
  <si>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</si>
  <si>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Revenues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</si>
  <si>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</si>
  <si>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</si>
  <si>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</si>
  <si>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</si>
  <si>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</si>
  <si>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</si>
  <si>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</si>
  <si>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</si>
  <si>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</si>
  <si>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Brochure Ad Income</t>
  </si>
  <si>
    <t>Brochure Expenses</t>
  </si>
  <si>
    <t>Net Brochure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</si>
  <si>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</si>
  <si>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</si>
  <si>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</si>
  <si>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</si>
  <si>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</si>
  <si>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</si>
  <si>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</si>
  <si>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</si>
  <si>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</si>
  <si>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</si>
  <si>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</si>
  <si>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</si>
  <si>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</si>
  <si>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</si>
  <si>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</si>
  <si>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PG&amp;E   Electricity/Gas</t>
  </si>
  <si>
    <t>Water/Sewer</t>
  </si>
  <si>
    <t>Internet $250/mo</t>
  </si>
  <si>
    <t>Facility Assistant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</si>
  <si>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</si>
  <si>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</si>
  <si>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</si>
  <si>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</si>
  <si>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</si>
  <si>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</si>
  <si>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</si>
  <si>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</si>
  <si>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</si>
  <si>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</si>
  <si>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</si>
  <si>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Bank Charges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</si>
  <si>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</si>
  <si>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</si>
  <si>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</si>
  <si>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</si>
  <si>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</si>
  <si>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</si>
  <si>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</si>
  <si>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</si>
  <si>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</si>
  <si>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</si>
  <si>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</si>
  <si>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</si>
  <si>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>Telephone/Communication (On DK pg now)</t>
  </si>
  <si>
    <t xml:space="preserve">Workman's Compensation Ins. </t>
  </si>
  <si>
    <t>Unemployment Insurance</t>
  </si>
  <si>
    <t>Administrative Payroll</t>
  </si>
  <si>
    <t>Health &amp; Dental</t>
  </si>
  <si>
    <t>Conferences and Meetings</t>
  </si>
  <si>
    <t>Mass Mutual Retirement Benefits</t>
  </si>
  <si>
    <t>Administrative Expense Reimburse</t>
  </si>
  <si>
    <t xml:space="preserve">Administrative Personnel Costs </t>
  </si>
  <si>
    <t>SPECIAL EVENTS</t>
  </si>
  <si>
    <t xml:space="preserve">Walk Your History Revenue  </t>
  </si>
  <si>
    <t>Walk Your History Expense</t>
  </si>
  <si>
    <t>Walk Your History Staffing</t>
  </si>
  <si>
    <t>Net WYH  (SE-WYH)</t>
  </si>
  <si>
    <t>Bunny Hop Revenue</t>
  </si>
  <si>
    <t>Bunny Hop Expense</t>
  </si>
  <si>
    <t>Bunny Hop Staffing</t>
  </si>
  <si>
    <t>Net Bunny Hop (SE-Bunny)</t>
  </si>
  <si>
    <t>Adventure Race/Family Fun Day Revenue</t>
  </si>
  <si>
    <t>Adventure Race/Family Fun Day Expense</t>
  </si>
  <si>
    <t>Adventure Race/Family Fun Day Staffing</t>
  </si>
  <si>
    <t>Net  Adventure Race (SE-Adv Race)</t>
  </si>
  <si>
    <t>SOM Revenue</t>
  </si>
  <si>
    <t>SOM Expense</t>
  </si>
  <si>
    <t>SOM Staffing</t>
  </si>
  <si>
    <t>Net  SOM (SE-SOM)</t>
  </si>
  <si>
    <t>Labor Day Parade Revenue</t>
  </si>
  <si>
    <t>Labor Day Parade Expense</t>
  </si>
  <si>
    <t>Labor Day Parade Staffing</t>
  </si>
  <si>
    <t>Net Labor Day Parade (SE-Parade)</t>
  </si>
  <si>
    <t>Golf Tournament Revenue</t>
  </si>
  <si>
    <t>Golf Tournament Expense</t>
  </si>
  <si>
    <t>Golf Tournament Staffing</t>
  </si>
  <si>
    <t>Net Golf Tournament (SE-Golf)</t>
  </si>
  <si>
    <t>Tiburon Taps Revenue</t>
  </si>
  <si>
    <t>Tiburon Taps Expense</t>
  </si>
  <si>
    <t>Tiburon Taps Staffing</t>
  </si>
  <si>
    <t>Net Tiburon Taps (SE-Beer)</t>
  </si>
  <si>
    <t>Half Marathon Revenue</t>
  </si>
  <si>
    <t>Half Marathon Expense</t>
  </si>
  <si>
    <t>Half Marathon Staffing</t>
  </si>
  <si>
    <t>Net Half Marathon (SE-Marathon)</t>
  </si>
  <si>
    <t>Boo Bash Revenue</t>
  </si>
  <si>
    <t>Boo Bash Expense</t>
  </si>
  <si>
    <t>Boo BashStaffing</t>
  </si>
  <si>
    <t>Net Boo Bash (SE-Boo)</t>
  </si>
  <si>
    <t>Santas Breakfast Revenue</t>
  </si>
  <si>
    <t>Santas Breakfast Expense</t>
  </si>
  <si>
    <t>Santas Breakfast Staffing</t>
  </si>
  <si>
    <t>Net Santas Breakfast (SE-Santa)</t>
  </si>
  <si>
    <t>Father Daughter Dance Revenue</t>
  </si>
  <si>
    <t>Father Daughter Dance Expense</t>
  </si>
  <si>
    <t>Father Daughter Dance Staffing</t>
  </si>
  <si>
    <t>Net Father Daughter Dance (SE-FDDD)</t>
  </si>
  <si>
    <t>Misc Revenue</t>
  </si>
  <si>
    <t>Misc Expense (portion of staff salary)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</si>
  <si>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</si>
  <si>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</si>
  <si>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</si>
  <si>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</si>
  <si>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</si>
  <si>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</si>
  <si>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YTD</t>
  </si>
  <si>
    <t>Prior</t>
  </si>
  <si>
    <t xml:space="preserve">Academy Revenues (Cotillion, Ballet, Tots, Teens, Bdays) </t>
  </si>
  <si>
    <t>Clothing/Uniform Expenses</t>
  </si>
  <si>
    <t>Teen Revenue</t>
  </si>
  <si>
    <t>Teen Expense</t>
  </si>
  <si>
    <t xml:space="preserve">Net  </t>
  </si>
  <si>
    <t>Strategic Planning Expense</t>
  </si>
  <si>
    <t>Net Revenue before depreciation</t>
  </si>
  <si>
    <t>Net Operating Income after depreciation</t>
  </si>
  <si>
    <t>2018/19 Check Adjustments</t>
  </si>
  <si>
    <t>Accounting and Payroll Charges/ADP</t>
  </si>
  <si>
    <t>\</t>
  </si>
  <si>
    <t>FY20-21</t>
  </si>
  <si>
    <t>FY 20-21</t>
  </si>
  <si>
    <t xml:space="preserve"> Budget for FY 2020-2021   - March 1, 2020 - February 28, 2021</t>
  </si>
  <si>
    <t>Emergency Texting Program</t>
  </si>
  <si>
    <t xml:space="preserve">City/Town Financial Contribution </t>
  </si>
  <si>
    <t xml:space="preserve">Projections </t>
  </si>
  <si>
    <t xml:space="preserve">if we had no progs past summer </t>
  </si>
  <si>
    <t>except tennis and only kept Director part time</t>
  </si>
  <si>
    <t xml:space="preserve">#2 Yr end </t>
  </si>
  <si>
    <t>#3 Yr end</t>
  </si>
  <si>
    <t>with fall youth and adult programming - no winter</t>
  </si>
  <si>
    <t>Balance with program rev.</t>
  </si>
  <si>
    <t>with Fall youth and adult programming - no Winter</t>
  </si>
  <si>
    <t>except some tennis and only kept Director part time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</si>
  <si>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</si>
  <si>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</si>
  <si>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</si>
  <si>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</si>
  <si>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</si>
  <si>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</si>
  <si>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</si>
  <si>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</si>
  <si>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</si>
  <si>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</si>
  <si>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</si>
  <si>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</si>
  <si>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</si>
  <si>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</si>
  <si>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</si>
  <si>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</si>
  <si>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</si>
  <si>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</si>
  <si>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</si>
  <si>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</si>
  <si>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</si>
  <si>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</si>
  <si>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</si>
  <si>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</si>
  <si>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</si>
  <si>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</si>
  <si>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Spring (AC3)</t>
  </si>
  <si>
    <t>Year End</t>
  </si>
  <si>
    <t>Angel Island Revenue</t>
  </si>
  <si>
    <t>LAIF Balance</t>
  </si>
  <si>
    <t>Scenario 1: The Ranch runs youth and adult within current rules through end of Feb.</t>
  </si>
  <si>
    <t>*</t>
  </si>
  <si>
    <t>Remaining program and buisness expenses through 3/1/2021</t>
  </si>
  <si>
    <t>Winter  (AC2) - 8 weeks Jan - Feb</t>
  </si>
  <si>
    <t>Fall  (AC1) - 15 weeks Sept - Dec</t>
  </si>
  <si>
    <t>Outstanding Checks as of December end</t>
  </si>
  <si>
    <t xml:space="preserve">* currently $40854 is in customer account credit </t>
  </si>
  <si>
    <t>FUNDS AVAILABLE AS OF 1/31/2020</t>
  </si>
  <si>
    <t>Potential remaining Winter gross revenue</t>
  </si>
  <si>
    <t>Funds on Hand as of 1/31/2021</t>
  </si>
  <si>
    <t>Jan</t>
  </si>
  <si>
    <t>Prior Jan</t>
  </si>
  <si>
    <t>20-21</t>
  </si>
  <si>
    <t>Bank of Marin Balance on 1/31/2021</t>
  </si>
  <si>
    <t>Payroll on 2/2/2021</t>
  </si>
  <si>
    <t>ALL Available Funds as of 1/31/2021</t>
  </si>
  <si>
    <t>tennis courts</t>
  </si>
  <si>
    <t>DAIRY KNOLL EXPENSES</t>
  </si>
  <si>
    <t>Projected Bank Balance as of 3/1/2021 (not includeing 21-22 deferred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</si>
</sst>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9"/>
      <color theme="3" tint="0.39997558519241921"/>
      <name val="Source Sans Pro"/>
      <family val="2"/>
    </font>
    <font>
      <sz val="9"/>
      <name val="Source Sans Pro"/>
      <family val="2"/>
    </font>
    <font>
      <i/>
      <sz val="11"/>
      <color theme="1"/>
      <name val="Source Sans Pro"/>
      <family val="2"/>
    </font>
    <font>
      <i/>
      <sz val="1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Source Sans Pro"/>
      <family val="2"/>
    </font>
    <font>
      <strike/>
      <sz val="11"/>
      <name val="Source Sans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</cellStyleXfs>
  <cellXfs count="423">
    <xf numFmtId="0" fontId="0" fillId="0" borderId="0" xfId="0"/>
    <xf numFmtId="0" fontId="5" fillId="0" borderId="0" xfId="0" applyFont="1"/>
    <xf numFmtId="0" fontId="0" fillId="0" borderId="38" xfId="0" applyBorder="1"/>
    <xf numFmtId="44" fontId="0" fillId="0" borderId="0" xfId="4" applyFont="1"/>
    <xf numFmtId="44" fontId="7" fillId="7" borderId="29" xfId="4" applyFont="1" applyFill="1" applyBorder="1"/>
    <xf numFmtId="44" fontId="0" fillId="7" borderId="29" xfId="4" applyFont="1" applyFill="1" applyBorder="1"/>
    <xf numFmtId="0" fontId="9" fillId="9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164" fontId="10" fillId="0" borderId="0" xfId="4" applyNumberFormat="1" applyFont="1"/>
    <xf numFmtId="0" fontId="9" fillId="0" borderId="46" xfId="0" applyFont="1" applyBorder="1"/>
    <xf numFmtId="164" fontId="9" fillId="0" borderId="46" xfId="0" applyNumberFormat="1" applyFont="1" applyBorder="1"/>
    <xf numFmtId="0" fontId="12" fillId="0" borderId="0" xfId="0" applyFont="1"/>
    <xf numFmtId="164" fontId="12" fillId="0" borderId="0" xfId="0" applyNumberFormat="1" applyFont="1"/>
    <xf numFmtId="164" fontId="13" fillId="0" borderId="0" xfId="0" applyNumberFormat="1" applyFont="1"/>
    <xf numFmtId="164" fontId="12" fillId="0" borderId="0" xfId="4" applyNumberFormat="1" applyFont="1"/>
    <xf numFmtId="0" fontId="12" fillId="0" borderId="43" xfId="0" applyFont="1" applyBorder="1"/>
    <xf numFmtId="164" fontId="12" fillId="0" borderId="44" xfId="0" applyNumberFormat="1" applyFont="1" applyBorder="1"/>
    <xf numFmtId="164" fontId="12" fillId="0" borderId="45" xfId="0" applyNumberFormat="1" applyFont="1" applyBorder="1"/>
    <xf numFmtId="164" fontId="14" fillId="0" borderId="0" xfId="0" applyNumberFormat="1" applyFont="1"/>
    <xf numFmtId="164" fontId="12" fillId="0" borderId="44" xfId="4" applyNumberFormat="1" applyFont="1" applyBorder="1"/>
    <xf numFmtId="164" fontId="12" fillId="0" borderId="45" xfId="4" applyNumberFormat="1" applyFont="1" applyBorder="1"/>
    <xf numFmtId="0" fontId="13" fillId="0" borderId="0" xfId="0" applyFont="1"/>
    <xf numFmtId="0" fontId="12" fillId="0" borderId="46" xfId="0" applyFont="1" applyBorder="1"/>
    <xf numFmtId="164" fontId="12" fillId="0" borderId="46" xfId="0" applyNumberFormat="1" applyFont="1" applyBorder="1"/>
    <xf numFmtId="0" fontId="12" fillId="9" borderId="29" xfId="0" applyFont="1" applyFill="1" applyBorder="1" applyAlignment="1">
      <alignment horizontal="center" wrapText="1"/>
    </xf>
    <xf numFmtId="0" fontId="6" fillId="7" borderId="43" xfId="0" applyFont="1" applyFill="1" applyBorder="1"/>
    <xf numFmtId="0" fontId="7" fillId="7" borderId="43" xfId="0" applyFont="1" applyFill="1" applyBorder="1"/>
    <xf numFmtId="0" fontId="7" fillId="7" borderId="43" xfId="0" applyFont="1" applyFill="1" applyBorder="1" applyAlignment="1">
      <alignment horizontal="right"/>
    </xf>
    <xf numFmtId="44" fontId="8" fillId="7" borderId="29" xfId="4" applyFont="1" applyFill="1" applyBorder="1"/>
    <xf numFmtId="0" fontId="8" fillId="7" borderId="43" xfId="0" applyFont="1" applyFill="1" applyBorder="1" applyAlignment="1">
      <alignment horizontal="right"/>
    </xf>
    <xf numFmtId="44" fontId="5" fillId="0" borderId="0" xfId="4" applyFont="1"/>
    <xf numFmtId="0" fontId="0" fillId="0" borderId="0" xfId="0" applyFill="1" applyBorder="1"/>
    <xf numFmtId="44" fontId="0" fillId="0" borderId="0" xfId="4" applyFont="1" applyFill="1" applyBorder="1"/>
    <xf numFmtId="0" fontId="0" fillId="0" borderId="29" xfId="0" applyBorder="1"/>
    <xf numFmtId="44" fontId="0" fillId="0" borderId="29" xfId="4" applyFont="1" applyBorder="1"/>
    <xf numFmtId="44" fontId="0" fillId="0" borderId="30" xfId="4" applyFont="1" applyBorder="1"/>
    <xf numFmtId="0" fontId="5" fillId="0" borderId="17" xfId="0" applyFont="1" applyBorder="1"/>
    <xf numFmtId="44" fontId="5" fillId="0" borderId="19" xfId="0" applyNumberFormat="1" applyFont="1" applyBorder="1"/>
    <xf numFmtId="0" fontId="15" fillId="0" borderId="0" xfId="0" applyFont="1" applyFill="1" applyBorder="1"/>
    <xf numFmtId="0" fontId="17" fillId="0" borderId="0" xfId="0" applyFont="1" applyFill="1" applyBorder="1"/>
    <xf numFmtId="44" fontId="17" fillId="0" borderId="0" xfId="4" applyFont="1" applyFill="1" applyBorder="1"/>
    <xf numFmtId="0" fontId="16" fillId="0" borderId="0" xfId="0" applyFont="1" applyBorder="1"/>
    <xf numFmtId="0" fontId="18" fillId="0" borderId="0" xfId="0" applyFont="1" applyFill="1" applyBorder="1"/>
    <xf numFmtId="44" fontId="16" fillId="0" borderId="0" xfId="4" applyFont="1" applyFill="1" applyBorder="1"/>
    <xf numFmtId="0" fontId="17" fillId="0" borderId="0" xfId="0" applyFont="1" applyFill="1" applyBorder="1" applyAlignment="1">
      <alignment horizontal="right"/>
    </xf>
    <xf numFmtId="44" fontId="19" fillId="0" borderId="0" xfId="4" applyFont="1" applyFill="1" applyBorder="1"/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0" fillId="0" borderId="0" xfId="0" applyFont="1" applyAlignment="1" applyProtection="1"/>
    <xf numFmtId="3" fontId="21" fillId="0" borderId="0" xfId="0" applyNumberFormat="1" applyFont="1" applyFill="1"/>
    <xf numFmtId="3" fontId="21" fillId="0" borderId="0" xfId="0" applyNumberFormat="1" applyFont="1" applyFill="1" applyBorder="1"/>
    <xf numFmtId="0" fontId="22" fillId="0" borderId="0" xfId="0" applyFont="1"/>
    <xf numFmtId="0" fontId="20" fillId="0" borderId="0" xfId="0" applyFont="1" applyFill="1" applyAlignment="1" applyProtection="1"/>
    <xf numFmtId="17" fontId="20" fillId="0" borderId="0" xfId="0" applyNumberFormat="1" applyFont="1" applyFill="1" applyAlignment="1" applyProtection="1">
      <alignment horizontal="left"/>
    </xf>
    <xf numFmtId="0" fontId="20" fillId="0" borderId="0" xfId="0" applyFont="1" applyAlignment="1"/>
    <xf numFmtId="0" fontId="20" fillId="0" borderId="0" xfId="0" applyFont="1"/>
    <xf numFmtId="3" fontId="20" fillId="0" borderId="2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3" fontId="23" fillId="6" borderId="30" xfId="0" applyNumberFormat="1" applyFont="1" applyFill="1" applyBorder="1" applyAlignment="1">
      <alignment horizontal="center"/>
    </xf>
    <xf numFmtId="3" fontId="20" fillId="8" borderId="5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3" fillId="7" borderId="30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7" xfId="0" applyNumberFormat="1" applyFont="1" applyFill="1" applyBorder="1" applyAlignment="1">
      <alignment horizontal="center"/>
    </xf>
    <xf numFmtId="3" fontId="23" fillId="6" borderId="6" xfId="0" applyNumberFormat="1" applyFont="1" applyFill="1" applyBorder="1" applyAlignment="1">
      <alignment horizontal="center"/>
    </xf>
    <xf numFmtId="3" fontId="20" fillId="8" borderId="0" xfId="0" applyNumberFormat="1" applyFont="1" applyFill="1" applyBorder="1" applyAlignment="1">
      <alignment horizontal="center"/>
    </xf>
    <xf numFmtId="3" fontId="23" fillId="7" borderId="6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3" fillId="6" borderId="22" xfId="0" applyNumberFormat="1" applyFont="1" applyFill="1" applyBorder="1" applyAlignment="1">
      <alignment horizontal="center"/>
    </xf>
    <xf numFmtId="3" fontId="20" fillId="8" borderId="35" xfId="0" applyNumberFormat="1" applyFont="1" applyFill="1" applyBorder="1" applyAlignment="1">
      <alignment horizontal="center"/>
    </xf>
    <xf numFmtId="3" fontId="23" fillId="7" borderId="22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left"/>
    </xf>
    <xf numFmtId="3" fontId="20" fillId="0" borderId="6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0" fillId="6" borderId="6" xfId="0" applyNumberFormat="1" applyFont="1" applyFill="1" applyBorder="1" applyAlignment="1">
      <alignment horizontal="right"/>
    </xf>
    <xf numFmtId="3" fontId="20" fillId="8" borderId="9" xfId="0" applyNumberFormat="1" applyFont="1" applyFill="1" applyBorder="1" applyAlignment="1">
      <alignment horizontal="center"/>
    </xf>
    <xf numFmtId="3" fontId="20" fillId="7" borderId="6" xfId="0" applyNumberFormat="1" applyFont="1" applyFill="1" applyBorder="1" applyAlignment="1">
      <alignment horizontal="right"/>
    </xf>
    <xf numFmtId="0" fontId="21" fillId="0" borderId="0" xfId="0" applyFont="1"/>
    <xf numFmtId="3" fontId="21" fillId="0" borderId="6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3" fontId="21" fillId="6" borderId="6" xfId="0" applyNumberFormat="1" applyFont="1" applyFill="1" applyBorder="1" applyAlignment="1">
      <alignment horizontal="right"/>
    </xf>
    <xf numFmtId="3" fontId="21" fillId="8" borderId="9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7" borderId="6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</xf>
    <xf numFmtId="3" fontId="21" fillId="0" borderId="6" xfId="0" applyNumberFormat="1" applyFont="1" applyFill="1" applyBorder="1" applyAlignment="1" applyProtection="1">
      <alignment horizontal="right"/>
    </xf>
    <xf numFmtId="3" fontId="22" fillId="2" borderId="8" xfId="0" applyNumberFormat="1" applyFont="1" applyFill="1" applyBorder="1" applyAlignment="1" applyProtection="1">
      <alignment horizontal="right"/>
    </xf>
    <xf numFmtId="3" fontId="21" fillId="6" borderId="6" xfId="0" applyNumberFormat="1" applyFont="1" applyFill="1" applyBorder="1" applyAlignment="1" applyProtection="1">
      <alignment horizontal="right"/>
    </xf>
    <xf numFmtId="3" fontId="21" fillId="8" borderId="9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Border="1" applyAlignment="1" applyProtection="1">
      <alignment horizontal="right"/>
    </xf>
    <xf numFmtId="3" fontId="21" fillId="7" borderId="6" xfId="0" applyNumberFormat="1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</xf>
    <xf numFmtId="3" fontId="20" fillId="0" borderId="18" xfId="0" applyNumberFormat="1" applyFont="1" applyFill="1" applyBorder="1" applyAlignment="1" applyProtection="1">
      <alignment horizontal="right"/>
    </xf>
    <xf numFmtId="3" fontId="23" fillId="2" borderId="19" xfId="0" applyNumberFormat="1" applyFont="1" applyFill="1" applyBorder="1" applyAlignment="1" applyProtection="1">
      <alignment horizontal="right"/>
    </xf>
    <xf numFmtId="3" fontId="20" fillId="6" borderId="18" xfId="0" applyNumberFormat="1" applyFont="1" applyFill="1" applyBorder="1" applyAlignment="1" applyProtection="1">
      <alignment horizontal="right"/>
    </xf>
    <xf numFmtId="3" fontId="20" fillId="8" borderId="39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 applyProtection="1">
      <alignment horizontal="right"/>
    </xf>
    <xf numFmtId="3" fontId="20" fillId="7" borderId="18" xfId="0" applyNumberFormat="1" applyFont="1" applyFill="1" applyBorder="1" applyAlignment="1" applyProtection="1">
      <alignment horizontal="right"/>
    </xf>
    <xf numFmtId="0" fontId="21" fillId="0" borderId="0" xfId="0" applyFont="1" applyBorder="1"/>
    <xf numFmtId="3" fontId="21" fillId="0" borderId="6" xfId="0" applyNumberFormat="1" applyFont="1" applyFill="1" applyBorder="1"/>
    <xf numFmtId="3" fontId="22" fillId="2" borderId="8" xfId="0" applyNumberFormat="1" applyFont="1" applyFill="1" applyBorder="1"/>
    <xf numFmtId="3" fontId="21" fillId="6" borderId="6" xfId="0" applyNumberFormat="1" applyFont="1" applyFill="1" applyBorder="1"/>
    <xf numFmtId="3" fontId="21" fillId="8" borderId="9" xfId="0" applyNumberFormat="1" applyFont="1" applyFill="1" applyBorder="1"/>
    <xf numFmtId="3" fontId="21" fillId="7" borderId="6" xfId="0" applyNumberFormat="1" applyFont="1" applyFill="1" applyBorder="1"/>
    <xf numFmtId="0" fontId="21" fillId="0" borderId="0" xfId="0" applyFont="1" applyBorder="1" applyAlignment="1" applyProtection="1">
      <alignment horizontal="left"/>
    </xf>
    <xf numFmtId="3" fontId="20" fillId="0" borderId="18" xfId="0" applyNumberFormat="1" applyFont="1" applyFill="1" applyBorder="1"/>
    <xf numFmtId="3" fontId="23" fillId="2" borderId="19" xfId="0" applyNumberFormat="1" applyFont="1" applyFill="1" applyBorder="1"/>
    <xf numFmtId="3" fontId="20" fillId="6" borderId="18" xfId="0" applyNumberFormat="1" applyFont="1" applyFill="1" applyBorder="1"/>
    <xf numFmtId="3" fontId="20" fillId="8" borderId="39" xfId="0" applyNumberFormat="1" applyFont="1" applyFill="1" applyBorder="1"/>
    <xf numFmtId="3" fontId="20" fillId="0" borderId="0" xfId="0" applyNumberFormat="1" applyFont="1" applyFill="1" applyBorder="1"/>
    <xf numFmtId="3" fontId="20" fillId="7" borderId="18" xfId="0" applyNumberFormat="1" applyFont="1" applyFill="1" applyBorder="1"/>
    <xf numFmtId="3" fontId="21" fillId="0" borderId="18" xfId="0" applyNumberFormat="1" applyFont="1" applyFill="1" applyBorder="1" applyAlignment="1">
      <alignment horizontal="right"/>
    </xf>
    <xf numFmtId="3" fontId="22" fillId="2" borderId="19" xfId="0" applyNumberFormat="1" applyFont="1" applyFill="1" applyBorder="1" applyAlignment="1">
      <alignment horizontal="right"/>
    </xf>
    <xf numFmtId="3" fontId="21" fillId="6" borderId="18" xfId="0" applyNumberFormat="1" applyFont="1" applyFill="1" applyBorder="1" applyAlignment="1">
      <alignment horizontal="right"/>
    </xf>
    <xf numFmtId="3" fontId="21" fillId="8" borderId="39" xfId="0" applyNumberFormat="1" applyFont="1" applyFill="1" applyBorder="1" applyAlignment="1">
      <alignment horizontal="right"/>
    </xf>
    <xf numFmtId="3" fontId="21" fillId="7" borderId="18" xfId="0" applyNumberFormat="1" applyFont="1" applyFill="1" applyBorder="1" applyAlignment="1">
      <alignment horizontal="right"/>
    </xf>
    <xf numFmtId="0" fontId="20" fillId="0" borderId="38" xfId="0" applyFont="1" applyBorder="1" applyAlignment="1" applyProtection="1">
      <alignment horizontal="left"/>
    </xf>
    <xf numFmtId="3" fontId="20" fillId="0" borderId="31" xfId="0" applyNumberFormat="1" applyFont="1" applyFill="1" applyBorder="1" applyAlignment="1">
      <alignment horizontal="right"/>
    </xf>
    <xf numFmtId="3" fontId="23" fillId="2" borderId="32" xfId="0" applyNumberFormat="1" applyFont="1" applyFill="1" applyBorder="1" applyAlignment="1">
      <alignment horizontal="right"/>
    </xf>
    <xf numFmtId="3" fontId="20" fillId="6" borderId="31" xfId="0" applyNumberFormat="1" applyFont="1" applyFill="1" applyBorder="1" applyAlignment="1">
      <alignment horizontal="right"/>
    </xf>
    <xf numFmtId="3" fontId="20" fillId="8" borderId="5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2" fillId="0" borderId="38" xfId="0" applyFont="1" applyBorder="1"/>
    <xf numFmtId="3" fontId="20" fillId="7" borderId="31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3" fontId="23" fillId="2" borderId="23" xfId="0" applyNumberFormat="1" applyFont="1" applyFill="1" applyBorder="1"/>
    <xf numFmtId="3" fontId="20" fillId="6" borderId="22" xfId="0" applyNumberFormat="1" applyFont="1" applyFill="1" applyBorder="1"/>
    <xf numFmtId="3" fontId="20" fillId="8" borderId="52" xfId="0" applyNumberFormat="1" applyFont="1" applyFill="1" applyBorder="1"/>
    <xf numFmtId="3" fontId="20" fillId="7" borderId="22" xfId="0" applyNumberFormat="1" applyFont="1" applyFill="1" applyBorder="1"/>
    <xf numFmtId="0" fontId="20" fillId="0" borderId="0" xfId="0" applyFont="1" applyBorder="1"/>
    <xf numFmtId="3" fontId="20" fillId="0" borderId="6" xfId="0" applyNumberFormat="1" applyFont="1" applyFill="1" applyBorder="1"/>
    <xf numFmtId="3" fontId="23" fillId="2" borderId="8" xfId="0" applyNumberFormat="1" applyFont="1" applyFill="1" applyBorder="1"/>
    <xf numFmtId="3" fontId="20" fillId="6" borderId="6" xfId="0" applyNumberFormat="1" applyFont="1" applyFill="1" applyBorder="1"/>
    <xf numFmtId="3" fontId="20" fillId="8" borderId="9" xfId="0" applyNumberFormat="1" applyFont="1" applyFill="1" applyBorder="1"/>
    <xf numFmtId="0" fontId="23" fillId="0" borderId="0" xfId="0" applyFont="1"/>
    <xf numFmtId="3" fontId="20" fillId="7" borderId="6" xfId="0" applyNumberFormat="1" applyFont="1" applyFill="1" applyBorder="1"/>
    <xf numFmtId="3" fontId="22" fillId="2" borderId="29" xfId="0" applyNumberFormat="1" applyFont="1" applyFill="1" applyBorder="1"/>
    <xf numFmtId="3" fontId="21" fillId="6" borderId="29" xfId="0" applyNumberFormat="1" applyFont="1" applyFill="1" applyBorder="1"/>
    <xf numFmtId="3" fontId="21" fillId="8" borderId="43" xfId="0" applyNumberFormat="1" applyFont="1" applyFill="1" applyBorder="1"/>
    <xf numFmtId="3" fontId="21" fillId="7" borderId="29" xfId="0" applyNumberFormat="1" applyFont="1" applyFill="1" applyBorder="1"/>
    <xf numFmtId="3" fontId="20" fillId="0" borderId="26" xfId="0" applyNumberFormat="1" applyFont="1" applyFill="1" applyBorder="1" applyAlignment="1" applyProtection="1">
      <alignment horizontal="right"/>
    </xf>
    <xf numFmtId="3" fontId="23" fillId="2" borderId="27" xfId="0" applyNumberFormat="1" applyFont="1" applyFill="1" applyBorder="1" applyAlignment="1" applyProtection="1">
      <alignment horizontal="right"/>
    </xf>
    <xf numFmtId="3" fontId="20" fillId="6" borderId="26" xfId="0" applyNumberFormat="1" applyFont="1" applyFill="1" applyBorder="1" applyAlignment="1" applyProtection="1">
      <alignment horizontal="right"/>
    </xf>
    <xf numFmtId="3" fontId="20" fillId="8" borderId="53" xfId="0" applyNumberFormat="1" applyFont="1" applyFill="1" applyBorder="1" applyAlignment="1" applyProtection="1">
      <alignment horizontal="right"/>
    </xf>
    <xf numFmtId="3" fontId="20" fillId="7" borderId="26" xfId="0" applyNumberFormat="1" applyFont="1" applyFill="1" applyBorder="1" applyAlignment="1" applyProtection="1">
      <alignment horizontal="right"/>
    </xf>
    <xf numFmtId="3" fontId="20" fillId="0" borderId="6" xfId="0" applyNumberFormat="1" applyFont="1" applyFill="1" applyBorder="1" applyAlignment="1" applyProtection="1">
      <alignment horizontal="right"/>
    </xf>
    <xf numFmtId="3" fontId="21" fillId="0" borderId="9" xfId="0" applyNumberFormat="1" applyFont="1" applyFill="1" applyBorder="1" applyAlignment="1" applyProtection="1">
      <alignment horizontal="right"/>
    </xf>
    <xf numFmtId="3" fontId="23" fillId="2" borderId="8" xfId="0" applyNumberFormat="1" applyFont="1" applyFill="1" applyBorder="1" applyAlignment="1" applyProtection="1">
      <alignment horizontal="right"/>
    </xf>
    <xf numFmtId="0" fontId="20" fillId="0" borderId="15" xfId="0" applyFont="1" applyFill="1" applyBorder="1" applyAlignment="1" applyProtection="1">
      <alignment horizontal="left"/>
    </xf>
    <xf numFmtId="3" fontId="20" fillId="0" borderId="19" xfId="0" applyNumberFormat="1" applyFont="1" applyFill="1" applyBorder="1" applyAlignment="1" applyProtection="1">
      <alignment horizontal="right"/>
    </xf>
    <xf numFmtId="3" fontId="20" fillId="4" borderId="18" xfId="0" applyNumberFormat="1" applyFont="1" applyFill="1" applyBorder="1" applyAlignment="1" applyProtection="1">
      <alignment horizontal="right"/>
    </xf>
    <xf numFmtId="3" fontId="20" fillId="0" borderId="19" xfId="0" applyNumberFormat="1" applyFont="1" applyFill="1" applyBorder="1"/>
    <xf numFmtId="0" fontId="21" fillId="0" borderId="0" xfId="0" applyFont="1" applyFill="1" applyBorder="1" applyAlignment="1" applyProtection="1">
      <alignment horizontal="left"/>
    </xf>
    <xf numFmtId="3" fontId="21" fillId="0" borderId="22" xfId="0" applyNumberFormat="1" applyFont="1" applyFill="1" applyBorder="1"/>
    <xf numFmtId="3" fontId="21" fillId="0" borderId="23" xfId="0" applyNumberFormat="1" applyFont="1" applyFill="1" applyBorder="1"/>
    <xf numFmtId="3" fontId="21" fillId="6" borderId="22" xfId="0" applyNumberFormat="1" applyFont="1" applyFill="1" applyBorder="1"/>
    <xf numFmtId="3" fontId="21" fillId="8" borderId="52" xfId="0" applyNumberFormat="1" applyFont="1" applyFill="1" applyBorder="1"/>
    <xf numFmtId="3" fontId="21" fillId="4" borderId="22" xfId="0" applyNumberFormat="1" applyFont="1" applyFill="1" applyBorder="1"/>
    <xf numFmtId="0" fontId="20" fillId="0" borderId="0" xfId="0" applyFont="1" applyFill="1" applyBorder="1" applyAlignment="1" applyProtection="1">
      <alignment horizontal="left"/>
    </xf>
    <xf numFmtId="3" fontId="20" fillId="0" borderId="29" xfId="0" applyNumberFormat="1" applyFont="1" applyFill="1" applyBorder="1" applyAlignment="1" applyProtection="1">
      <alignment horizontal="right"/>
    </xf>
    <xf numFmtId="3" fontId="20" fillId="0" borderId="26" xfId="0" applyNumberFormat="1" applyFont="1" applyFill="1" applyBorder="1"/>
    <xf numFmtId="3" fontId="20" fillId="0" borderId="27" xfId="0" applyNumberFormat="1" applyFont="1" applyFill="1" applyBorder="1"/>
    <xf numFmtId="3" fontId="20" fillId="6" borderId="26" xfId="0" applyNumberFormat="1" applyFont="1" applyFill="1" applyBorder="1"/>
    <xf numFmtId="3" fontId="20" fillId="8" borderId="53" xfId="0" applyNumberFormat="1" applyFont="1" applyFill="1" applyBorder="1"/>
    <xf numFmtId="3" fontId="20" fillId="4" borderId="26" xfId="0" applyNumberFormat="1" applyFont="1" applyFill="1" applyBorder="1"/>
    <xf numFmtId="3" fontId="20" fillId="6" borderId="7" xfId="0" applyNumberFormat="1" applyFont="1" applyFill="1" applyBorder="1"/>
    <xf numFmtId="3" fontId="20" fillId="8" borderId="0" xfId="0" applyNumberFormat="1" applyFont="1" applyFill="1" applyBorder="1"/>
    <xf numFmtId="3" fontId="20" fillId="4" borderId="7" xfId="0" applyNumberFormat="1" applyFont="1" applyFill="1" applyBorder="1"/>
    <xf numFmtId="3" fontId="21" fillId="6" borderId="7" xfId="0" applyNumberFormat="1" applyFont="1" applyFill="1" applyBorder="1"/>
    <xf numFmtId="3" fontId="21" fillId="8" borderId="0" xfId="0" applyNumberFormat="1" applyFont="1" applyFill="1" applyBorder="1"/>
    <xf numFmtId="3" fontId="21" fillId="4" borderId="7" xfId="0" applyNumberFormat="1" applyFont="1" applyFill="1" applyBorder="1"/>
    <xf numFmtId="3" fontId="23" fillId="2" borderId="4" xfId="0" applyNumberFormat="1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/>
    </xf>
    <xf numFmtId="3" fontId="23" fillId="2" borderId="13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 horizontal="center"/>
    </xf>
    <xf numFmtId="3" fontId="21" fillId="2" borderId="33" xfId="0" applyNumberFormat="1" applyFont="1" applyFill="1" applyBorder="1" applyAlignment="1">
      <alignment horizontal="center"/>
    </xf>
    <xf numFmtId="3" fontId="21" fillId="3" borderId="33" xfId="0" applyNumberFormat="1" applyFont="1" applyFill="1" applyBorder="1" applyAlignment="1">
      <alignment horizontal="center"/>
    </xf>
    <xf numFmtId="3" fontId="21" fillId="0" borderId="8" xfId="0" applyNumberFormat="1" applyFont="1" applyFill="1" applyBorder="1"/>
    <xf numFmtId="3" fontId="21" fillId="0" borderId="33" xfId="0" applyNumberFormat="1" applyFont="1" applyFill="1" applyBorder="1"/>
    <xf numFmtId="3" fontId="21" fillId="2" borderId="33" xfId="0" applyNumberFormat="1" applyFont="1" applyFill="1" applyBorder="1"/>
    <xf numFmtId="3" fontId="21" fillId="3" borderId="33" xfId="0" applyNumberFormat="1" applyFont="1" applyFill="1" applyBorder="1"/>
    <xf numFmtId="3" fontId="21" fillId="7" borderId="7" xfId="0" applyNumberFormat="1" applyFont="1" applyFill="1" applyBorder="1"/>
    <xf numFmtId="3" fontId="20" fillId="0" borderId="16" xfId="0" applyNumberFormat="1" applyFont="1" applyFill="1" applyBorder="1" applyAlignment="1" applyProtection="1">
      <alignment horizontal="right"/>
    </xf>
    <xf numFmtId="3" fontId="20" fillId="2" borderId="16" xfId="0" applyNumberFormat="1" applyFont="1" applyFill="1" applyBorder="1" applyAlignment="1" applyProtection="1">
      <alignment horizontal="right"/>
    </xf>
    <xf numFmtId="3" fontId="20" fillId="6" borderId="17" xfId="0" applyNumberFormat="1" applyFont="1" applyFill="1" applyBorder="1" applyAlignment="1" applyProtection="1">
      <alignment horizontal="right"/>
    </xf>
    <xf numFmtId="3" fontId="20" fillId="8" borderId="15" xfId="0" applyNumberFormat="1" applyFont="1" applyFill="1" applyBorder="1" applyAlignment="1" applyProtection="1">
      <alignment horizontal="right"/>
    </xf>
    <xf numFmtId="3" fontId="20" fillId="7" borderId="17" xfId="0" applyNumberFormat="1" applyFont="1" applyFill="1" applyBorder="1" applyAlignment="1" applyProtection="1">
      <alignment horizontal="right"/>
    </xf>
    <xf numFmtId="3" fontId="24" fillId="0" borderId="33" xfId="0" applyNumberFormat="1" applyFont="1" applyFill="1" applyBorder="1"/>
    <xf numFmtId="3" fontId="24" fillId="2" borderId="33" xfId="0" applyNumberFormat="1" applyFont="1" applyFill="1" applyBorder="1"/>
    <xf numFmtId="3" fontId="24" fillId="6" borderId="7" xfId="0" applyNumberFormat="1" applyFont="1" applyFill="1" applyBorder="1"/>
    <xf numFmtId="3" fontId="25" fillId="8" borderId="0" xfId="0" applyNumberFormat="1" applyFont="1" applyFill="1" applyBorder="1"/>
    <xf numFmtId="3" fontId="25" fillId="0" borderId="0" xfId="0" applyNumberFormat="1" applyFont="1" applyFill="1" applyBorder="1"/>
    <xf numFmtId="3" fontId="24" fillId="3" borderId="33" xfId="0" applyNumberFormat="1" applyFont="1" applyFill="1" applyBorder="1"/>
    <xf numFmtId="3" fontId="24" fillId="7" borderId="7" xfId="0" applyNumberFormat="1" applyFont="1" applyFill="1" applyBorder="1"/>
    <xf numFmtId="3" fontId="20" fillId="0" borderId="15" xfId="0" applyNumberFormat="1" applyFont="1" applyFill="1" applyBorder="1" applyAlignment="1" applyProtection="1">
      <alignment horizontal="right"/>
    </xf>
    <xf numFmtId="3" fontId="20" fillId="0" borderId="8" xfId="0" applyNumberFormat="1" applyFont="1" applyFill="1" applyBorder="1" applyAlignment="1" applyProtection="1">
      <alignment horizontal="right"/>
    </xf>
    <xf numFmtId="3" fontId="20" fillId="0" borderId="33" xfId="0" applyNumberFormat="1" applyFont="1" applyFill="1" applyBorder="1" applyAlignment="1" applyProtection="1">
      <alignment horizontal="right"/>
    </xf>
    <xf numFmtId="3" fontId="20" fillId="2" borderId="33" xfId="0" applyNumberFormat="1" applyFont="1" applyFill="1" applyBorder="1" applyAlignment="1" applyProtection="1">
      <alignment horizontal="right"/>
    </xf>
    <xf numFmtId="3" fontId="20" fillId="6" borderId="7" xfId="0" applyNumberFormat="1" applyFont="1" applyFill="1" applyBorder="1" applyAlignment="1" applyProtection="1">
      <alignment horizontal="right"/>
    </xf>
    <xf numFmtId="3" fontId="20" fillId="8" borderId="0" xfId="0" applyNumberFormat="1" applyFont="1" applyFill="1" applyBorder="1" applyAlignment="1" applyProtection="1">
      <alignment horizontal="right"/>
    </xf>
    <xf numFmtId="3" fontId="20" fillId="3" borderId="33" xfId="0" applyNumberFormat="1" applyFont="1" applyFill="1" applyBorder="1" applyAlignment="1" applyProtection="1">
      <alignment horizontal="right"/>
    </xf>
    <xf numFmtId="3" fontId="20" fillId="7" borderId="7" xfId="0" applyNumberFormat="1" applyFont="1" applyFill="1" applyBorder="1" applyAlignment="1" applyProtection="1">
      <alignment horizontal="right"/>
    </xf>
    <xf numFmtId="3" fontId="21" fillId="7" borderId="33" xfId="0" applyNumberFormat="1" applyFont="1" applyFill="1" applyBorder="1"/>
    <xf numFmtId="3" fontId="20" fillId="7" borderId="16" xfId="0" applyNumberFormat="1" applyFont="1" applyFill="1" applyBorder="1" applyAlignment="1" applyProtection="1">
      <alignment horizontal="right"/>
    </xf>
    <xf numFmtId="3" fontId="24" fillId="0" borderId="33" xfId="0" applyNumberFormat="1" applyFont="1" applyFill="1" applyBorder="1" applyAlignment="1" applyProtection="1">
      <alignment horizontal="right"/>
    </xf>
    <xf numFmtId="3" fontId="24" fillId="2" borderId="33" xfId="0" applyNumberFormat="1" applyFont="1" applyFill="1" applyBorder="1" applyAlignment="1" applyProtection="1">
      <alignment horizontal="right"/>
    </xf>
    <xf numFmtId="3" fontId="24" fillId="6" borderId="7" xfId="0" applyNumberFormat="1" applyFont="1" applyFill="1" applyBorder="1" applyAlignment="1" applyProtection="1">
      <alignment horizontal="right"/>
    </xf>
    <xf numFmtId="3" fontId="25" fillId="8" borderId="0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</xf>
    <xf numFmtId="3" fontId="24" fillId="3" borderId="33" xfId="0" applyNumberFormat="1" applyFont="1" applyFill="1" applyBorder="1" applyAlignment="1" applyProtection="1">
      <alignment horizontal="right"/>
    </xf>
    <xf numFmtId="3" fontId="24" fillId="7" borderId="7" xfId="0" applyNumberFormat="1" applyFont="1" applyFill="1" applyBorder="1" applyAlignment="1" applyProtection="1">
      <alignment horizontal="right"/>
    </xf>
    <xf numFmtId="3" fontId="21" fillId="0" borderId="8" xfId="0" applyNumberFormat="1" applyFont="1" applyFill="1" applyBorder="1" applyAlignment="1" applyProtection="1">
      <alignment horizontal="right"/>
    </xf>
    <xf numFmtId="3" fontId="21" fillId="0" borderId="5" xfId="0" applyNumberFormat="1" applyFont="1" applyFill="1" applyBorder="1" applyAlignment="1" applyProtection="1">
      <alignment horizontal="right"/>
    </xf>
    <xf numFmtId="3" fontId="21" fillId="2" borderId="5" xfId="0" applyNumberFormat="1" applyFont="1" applyFill="1" applyBorder="1" applyAlignment="1" applyProtection="1">
      <alignment horizontal="right"/>
    </xf>
    <xf numFmtId="3" fontId="21" fillId="6" borderId="14" xfId="0" applyNumberFormat="1" applyFont="1" applyFill="1" applyBorder="1" applyAlignment="1" applyProtection="1">
      <alignment horizontal="right"/>
    </xf>
    <xf numFmtId="3" fontId="21" fillId="8" borderId="47" xfId="0" applyNumberFormat="1" applyFont="1" applyFill="1" applyBorder="1" applyAlignment="1" applyProtection="1">
      <alignment horizontal="right"/>
    </xf>
    <xf numFmtId="3" fontId="21" fillId="7" borderId="14" xfId="0" applyNumberFormat="1" applyFont="1" applyFill="1" applyBorder="1" applyAlignment="1" applyProtection="1">
      <alignment horizontal="right"/>
    </xf>
    <xf numFmtId="3" fontId="20" fillId="0" borderId="4" xfId="0" applyNumberFormat="1" applyFont="1" applyFill="1" applyBorder="1" applyAlignment="1" applyProtection="1">
      <alignment horizontal="right"/>
    </xf>
    <xf numFmtId="3" fontId="20" fillId="0" borderId="1" xfId="0" applyNumberFormat="1" applyFont="1" applyFill="1" applyBorder="1" applyAlignment="1" applyProtection="1">
      <alignment horizontal="right"/>
    </xf>
    <xf numFmtId="3" fontId="20" fillId="2" borderId="1" xfId="0" applyNumberFormat="1" applyFont="1" applyFill="1" applyBorder="1" applyAlignment="1" applyProtection="1">
      <alignment horizontal="right"/>
    </xf>
    <xf numFmtId="3" fontId="20" fillId="6" borderId="20" xfId="0" applyNumberFormat="1" applyFont="1" applyFill="1" applyBorder="1" applyAlignment="1" applyProtection="1">
      <alignment horizontal="right"/>
    </xf>
    <xf numFmtId="3" fontId="20" fillId="8" borderId="48" xfId="0" applyNumberFormat="1" applyFont="1" applyFill="1" applyBorder="1" applyAlignment="1" applyProtection="1">
      <alignment horizontal="right"/>
    </xf>
    <xf numFmtId="3" fontId="20" fillId="7" borderId="20" xfId="0" applyNumberFormat="1" applyFont="1" applyFill="1" applyBorder="1" applyAlignment="1" applyProtection="1">
      <alignment horizontal="right"/>
    </xf>
    <xf numFmtId="3" fontId="21" fillId="0" borderId="9" xfId="0" applyNumberFormat="1" applyFont="1" applyFill="1" applyBorder="1"/>
    <xf numFmtId="3" fontId="21" fillId="2" borderId="0" xfId="0" applyNumberFormat="1" applyFont="1" applyFill="1" applyBorder="1"/>
    <xf numFmtId="3" fontId="21" fillId="6" borderId="30" xfId="0" applyNumberFormat="1" applyFont="1" applyFill="1" applyBorder="1"/>
    <xf numFmtId="3" fontId="21" fillId="8" borderId="54" xfId="0" applyNumberFormat="1" applyFont="1" applyFill="1" applyBorder="1"/>
    <xf numFmtId="3" fontId="21" fillId="7" borderId="30" xfId="0" applyNumberFormat="1" applyFont="1" applyFill="1" applyBorder="1"/>
    <xf numFmtId="3" fontId="21" fillId="7" borderId="22" xfId="0" applyNumberFormat="1" applyFont="1" applyFill="1" applyBorder="1"/>
    <xf numFmtId="3" fontId="20" fillId="6" borderId="41" xfId="0" applyNumberFormat="1" applyFont="1" applyFill="1" applyBorder="1" applyAlignment="1" applyProtection="1">
      <alignment horizontal="right"/>
    </xf>
    <xf numFmtId="3" fontId="20" fillId="8" borderId="41" xfId="0" applyNumberFormat="1" applyFont="1" applyFill="1" applyBorder="1" applyAlignment="1" applyProtection="1">
      <alignment horizontal="right"/>
    </xf>
    <xf numFmtId="3" fontId="20" fillId="7" borderId="41" xfId="0" applyNumberFormat="1" applyFont="1" applyFill="1" applyBorder="1" applyAlignment="1" applyProtection="1">
      <alignment horizontal="right"/>
    </xf>
    <xf numFmtId="3" fontId="20" fillId="0" borderId="9" xfId="0" applyNumberFormat="1" applyFont="1" applyFill="1" applyBorder="1" applyAlignment="1" applyProtection="1">
      <alignment horizontal="right"/>
    </xf>
    <xf numFmtId="3" fontId="21" fillId="0" borderId="1" xfId="0" applyNumberFormat="1" applyFont="1" applyFill="1" applyBorder="1"/>
    <xf numFmtId="3" fontId="21" fillId="0" borderId="33" xfId="0" applyNumberFormat="1" applyFont="1" applyFill="1" applyBorder="1" applyAlignment="1" applyProtection="1">
      <alignment horizontal="left"/>
    </xf>
    <xf numFmtId="3" fontId="21" fillId="2" borderId="33" xfId="0" applyNumberFormat="1" applyFont="1" applyFill="1" applyBorder="1" applyAlignment="1" applyProtection="1">
      <alignment horizontal="left"/>
    </xf>
    <xf numFmtId="3" fontId="21" fillId="6" borderId="7" xfId="0" applyNumberFormat="1" applyFont="1" applyFill="1" applyBorder="1" applyAlignment="1" applyProtection="1">
      <alignment horizontal="left"/>
    </xf>
    <xf numFmtId="3" fontId="21" fillId="8" borderId="0" xfId="0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>
      <alignment horizontal="left"/>
    </xf>
    <xf numFmtId="3" fontId="21" fillId="3" borderId="33" xfId="0" applyNumberFormat="1" applyFont="1" applyFill="1" applyBorder="1" applyAlignment="1" applyProtection="1">
      <alignment horizontal="left"/>
    </xf>
    <xf numFmtId="3" fontId="21" fillId="7" borderId="7" xfId="0" applyNumberFormat="1" applyFont="1" applyFill="1" applyBorder="1" applyAlignment="1" applyProtection="1">
      <alignment horizontal="left"/>
    </xf>
    <xf numFmtId="3" fontId="21" fillId="0" borderId="5" xfId="0" applyNumberFormat="1" applyFont="1" applyFill="1" applyBorder="1"/>
    <xf numFmtId="0" fontId="21" fillId="0" borderId="5" xfId="0" applyFont="1" applyFill="1" applyBorder="1"/>
    <xf numFmtId="3" fontId="20" fillId="0" borderId="39" xfId="0" applyNumberFormat="1" applyFont="1" applyFill="1" applyBorder="1" applyAlignment="1" applyProtection="1">
      <alignment horizontal="right"/>
    </xf>
    <xf numFmtId="0" fontId="22" fillId="6" borderId="6" xfId="0" applyFont="1" applyFill="1" applyBorder="1"/>
    <xf numFmtId="0" fontId="21" fillId="8" borderId="9" xfId="0" applyFont="1" applyFill="1" applyBorder="1"/>
    <xf numFmtId="0" fontId="21" fillId="0" borderId="0" xfId="0" applyFont="1" applyFill="1" applyBorder="1"/>
    <xf numFmtId="0" fontId="22" fillId="7" borderId="6" xfId="0" applyFont="1" applyFill="1" applyBorder="1"/>
    <xf numFmtId="0" fontId="23" fillId="6" borderId="16" xfId="0" applyFont="1" applyFill="1" applyBorder="1"/>
    <xf numFmtId="0" fontId="20" fillId="8" borderId="15" xfId="0" applyFont="1" applyFill="1" applyBorder="1"/>
    <xf numFmtId="0" fontId="20" fillId="0" borderId="0" xfId="0" applyFont="1" applyFill="1" applyBorder="1"/>
    <xf numFmtId="0" fontId="23" fillId="7" borderId="16" xfId="0" applyFont="1" applyFill="1" applyBorder="1"/>
    <xf numFmtId="0" fontId="26" fillId="6" borderId="6" xfId="0" applyFont="1" applyFill="1" applyBorder="1"/>
    <xf numFmtId="0" fontId="27" fillId="8" borderId="9" xfId="0" applyFont="1" applyFill="1" applyBorder="1"/>
    <xf numFmtId="0" fontId="27" fillId="0" borderId="0" xfId="0" applyFont="1" applyFill="1" applyBorder="1"/>
    <xf numFmtId="0" fontId="26" fillId="7" borderId="6" xfId="0" applyFont="1" applyFill="1" applyBorder="1"/>
    <xf numFmtId="3" fontId="22" fillId="6" borderId="6" xfId="0" applyNumberFormat="1" applyFont="1" applyFill="1" applyBorder="1"/>
    <xf numFmtId="3" fontId="22" fillId="7" borderId="6" xfId="0" applyNumberFormat="1" applyFont="1" applyFill="1" applyBorder="1"/>
    <xf numFmtId="3" fontId="23" fillId="6" borderId="16" xfId="0" applyNumberFormat="1" applyFont="1" applyFill="1" applyBorder="1"/>
    <xf numFmtId="3" fontId="20" fillId="8" borderId="15" xfId="0" applyNumberFormat="1" applyFont="1" applyFill="1" applyBorder="1"/>
    <xf numFmtId="3" fontId="23" fillId="7" borderId="16" xfId="0" applyNumberFormat="1" applyFont="1" applyFill="1" applyBorder="1"/>
    <xf numFmtId="3" fontId="28" fillId="0" borderId="9" xfId="0" applyNumberFormat="1" applyFont="1" applyFill="1" applyBorder="1" applyAlignment="1" applyProtection="1">
      <alignment horizontal="right"/>
    </xf>
    <xf numFmtId="3" fontId="28" fillId="0" borderId="0" xfId="0" applyNumberFormat="1" applyFont="1" applyFill="1" applyBorder="1" applyAlignment="1" applyProtection="1">
      <alignment horizontal="right"/>
    </xf>
    <xf numFmtId="3" fontId="28" fillId="6" borderId="7" xfId="0" applyNumberFormat="1" applyFont="1" applyFill="1" applyBorder="1" applyAlignment="1" applyProtection="1">
      <alignment horizontal="right"/>
    </xf>
    <xf numFmtId="3" fontId="21" fillId="8" borderId="0" xfId="0" applyNumberFormat="1" applyFont="1" applyFill="1" applyBorder="1" applyAlignment="1" applyProtection="1">
      <alignment horizontal="right"/>
    </xf>
    <xf numFmtId="3" fontId="28" fillId="4" borderId="7" xfId="0" applyNumberFormat="1" applyFont="1" applyFill="1" applyBorder="1" applyAlignment="1" applyProtection="1">
      <alignment horizontal="right"/>
    </xf>
    <xf numFmtId="3" fontId="29" fillId="0" borderId="9" xfId="0" applyNumberFormat="1" applyFont="1" applyFill="1" applyBorder="1" applyAlignment="1" applyProtection="1">
      <alignment horizontal="right"/>
    </xf>
    <xf numFmtId="3" fontId="29" fillId="0" borderId="0" xfId="0" applyNumberFormat="1" applyFont="1" applyFill="1" applyBorder="1" applyAlignment="1" applyProtection="1">
      <alignment horizontal="right"/>
    </xf>
    <xf numFmtId="3" fontId="29" fillId="6" borderId="7" xfId="0" applyNumberFormat="1" applyFont="1" applyFill="1" applyBorder="1" applyAlignment="1" applyProtection="1">
      <alignment horizontal="right"/>
    </xf>
    <xf numFmtId="3" fontId="29" fillId="4" borderId="7" xfId="0" applyNumberFormat="1" applyFont="1" applyFill="1" applyBorder="1" applyAlignment="1" applyProtection="1">
      <alignment horizontal="right"/>
    </xf>
    <xf numFmtId="3" fontId="21" fillId="2" borderId="5" xfId="0" applyNumberFormat="1" applyFont="1" applyFill="1" applyBorder="1"/>
    <xf numFmtId="3" fontId="21" fillId="6" borderId="14" xfId="0" applyNumberFormat="1" applyFont="1" applyFill="1" applyBorder="1"/>
    <xf numFmtId="3" fontId="21" fillId="8" borderId="47" xfId="0" applyNumberFormat="1" applyFont="1" applyFill="1" applyBorder="1"/>
    <xf numFmtId="3" fontId="21" fillId="7" borderId="14" xfId="0" applyNumberFormat="1" applyFont="1" applyFill="1" applyBorder="1"/>
    <xf numFmtId="3" fontId="24" fillId="0" borderId="5" xfId="0" applyNumberFormat="1" applyFont="1" applyFill="1" applyBorder="1"/>
    <xf numFmtId="3" fontId="24" fillId="2" borderId="5" xfId="0" applyNumberFormat="1" applyFont="1" applyFill="1" applyBorder="1"/>
    <xf numFmtId="3" fontId="24" fillId="6" borderId="14" xfId="0" applyNumberFormat="1" applyFont="1" applyFill="1" applyBorder="1"/>
    <xf numFmtId="3" fontId="25" fillId="8" borderId="47" xfId="0" applyNumberFormat="1" applyFont="1" applyFill="1" applyBorder="1"/>
    <xf numFmtId="3" fontId="24" fillId="7" borderId="14" xfId="0" applyNumberFormat="1" applyFont="1" applyFill="1" applyBorder="1"/>
    <xf numFmtId="37" fontId="30" fillId="0" borderId="0" xfId="1" applyNumberFormat="1" applyFont="1" applyFill="1"/>
    <xf numFmtId="37" fontId="30" fillId="0" borderId="38" xfId="1" applyNumberFormat="1" applyFont="1" applyFill="1" applyBorder="1"/>
    <xf numFmtId="3" fontId="21" fillId="0" borderId="21" xfId="0" applyNumberFormat="1" applyFont="1" applyFill="1" applyBorder="1"/>
    <xf numFmtId="3" fontId="21" fillId="2" borderId="21" xfId="0" applyNumberFormat="1" applyFont="1" applyFill="1" applyBorder="1"/>
    <xf numFmtId="3" fontId="21" fillId="6" borderId="28" xfId="0" applyNumberFormat="1" applyFont="1" applyFill="1" applyBorder="1"/>
    <xf numFmtId="3" fontId="21" fillId="8" borderId="49" xfId="0" applyNumberFormat="1" applyFont="1" applyFill="1" applyBorder="1"/>
    <xf numFmtId="3" fontId="21" fillId="7" borderId="28" xfId="0" applyNumberFormat="1" applyFont="1" applyFill="1" applyBorder="1"/>
    <xf numFmtId="3" fontId="20" fillId="0" borderId="5" xfId="0" applyNumberFormat="1" applyFont="1" applyFill="1" applyBorder="1" applyAlignment="1" applyProtection="1">
      <alignment horizontal="right"/>
    </xf>
    <xf numFmtId="3" fontId="20" fillId="2" borderId="5" xfId="0" applyNumberFormat="1" applyFont="1" applyFill="1" applyBorder="1" applyAlignment="1" applyProtection="1">
      <alignment horizontal="right"/>
    </xf>
    <xf numFmtId="3" fontId="20" fillId="6" borderId="14" xfId="0" applyNumberFormat="1" applyFont="1" applyFill="1" applyBorder="1" applyAlignment="1" applyProtection="1">
      <alignment horizontal="right"/>
    </xf>
    <xf numFmtId="3" fontId="20" fillId="8" borderId="47" xfId="0" applyNumberFormat="1" applyFont="1" applyFill="1" applyBorder="1" applyAlignment="1" applyProtection="1">
      <alignment horizontal="right"/>
    </xf>
    <xf numFmtId="3" fontId="20" fillId="7" borderId="14" xfId="0" applyNumberFormat="1" applyFont="1" applyFill="1" applyBorder="1" applyAlignment="1" applyProtection="1">
      <alignment horizontal="right"/>
    </xf>
    <xf numFmtId="3" fontId="20" fillId="0" borderId="24" xfId="0" applyNumberFormat="1" applyFont="1" applyFill="1" applyBorder="1" applyAlignment="1" applyProtection="1">
      <alignment horizontal="right"/>
    </xf>
    <xf numFmtId="3" fontId="20" fillId="6" borderId="25" xfId="0" applyNumberFormat="1" applyFont="1" applyFill="1" applyBorder="1" applyAlignment="1" applyProtection="1">
      <alignment horizontal="right"/>
    </xf>
    <xf numFmtId="3" fontId="20" fillId="8" borderId="24" xfId="0" applyNumberFormat="1" applyFont="1" applyFill="1" applyBorder="1" applyAlignment="1" applyProtection="1">
      <alignment horizontal="right"/>
    </xf>
    <xf numFmtId="3" fontId="20" fillId="4" borderId="25" xfId="0" applyNumberFormat="1" applyFont="1" applyFill="1" applyBorder="1" applyAlignment="1" applyProtection="1">
      <alignment horizontal="right"/>
    </xf>
    <xf numFmtId="3" fontId="20" fillId="0" borderId="11" xfId="0" applyNumberFormat="1" applyFont="1" applyFill="1" applyBorder="1" applyAlignment="1">
      <alignment horizontal="center"/>
    </xf>
    <xf numFmtId="3" fontId="21" fillId="6" borderId="6" xfId="0" applyNumberFormat="1" applyFont="1" applyFill="1" applyBorder="1" applyAlignment="1"/>
    <xf numFmtId="3" fontId="21" fillId="8" borderId="9" xfId="0" applyNumberFormat="1" applyFont="1" applyFill="1" applyBorder="1" applyAlignment="1"/>
    <xf numFmtId="3" fontId="21" fillId="0" borderId="0" xfId="0" applyNumberFormat="1" applyFont="1" applyFill="1" applyBorder="1" applyAlignment="1"/>
    <xf numFmtId="3" fontId="21" fillId="7" borderId="6" xfId="0" applyNumberFormat="1" applyFont="1" applyFill="1" applyBorder="1" applyAlignment="1"/>
    <xf numFmtId="3" fontId="20" fillId="4" borderId="7" xfId="0" applyNumberFormat="1" applyFont="1" applyFill="1" applyBorder="1" applyAlignment="1" applyProtection="1">
      <alignment horizontal="right"/>
    </xf>
    <xf numFmtId="0" fontId="20" fillId="0" borderId="34" xfId="0" applyFont="1" applyBorder="1"/>
    <xf numFmtId="0" fontId="21" fillId="0" borderId="35" xfId="0" applyFont="1" applyBorder="1"/>
    <xf numFmtId="3" fontId="21" fillId="2" borderId="1" xfId="0" applyNumberFormat="1" applyFont="1" applyFill="1" applyBorder="1"/>
    <xf numFmtId="0" fontId="21" fillId="0" borderId="0" xfId="0" applyFont="1" applyFill="1" applyAlignment="1" applyProtection="1">
      <alignment horizontal="left"/>
    </xf>
    <xf numFmtId="0" fontId="20" fillId="0" borderId="15" xfId="0" applyFont="1" applyBorder="1"/>
    <xf numFmtId="3" fontId="20" fillId="0" borderId="16" xfId="0" applyNumberFormat="1" applyFont="1" applyFill="1" applyBorder="1"/>
    <xf numFmtId="3" fontId="20" fillId="2" borderId="16" xfId="0" applyNumberFormat="1" applyFont="1" applyFill="1" applyBorder="1"/>
    <xf numFmtId="3" fontId="20" fillId="6" borderId="17" xfId="0" applyNumberFormat="1" applyFont="1" applyFill="1" applyBorder="1"/>
    <xf numFmtId="3" fontId="20" fillId="7" borderId="17" xfId="0" applyNumberFormat="1" applyFont="1" applyFill="1" applyBorder="1"/>
    <xf numFmtId="3" fontId="28" fillId="0" borderId="0" xfId="0" applyNumberFormat="1" applyFont="1" applyFill="1" applyBorder="1"/>
    <xf numFmtId="3" fontId="28" fillId="6" borderId="7" xfId="0" applyNumberFormat="1" applyFont="1" applyFill="1" applyBorder="1"/>
    <xf numFmtId="3" fontId="28" fillId="4" borderId="7" xfId="0" applyNumberFormat="1" applyFont="1" applyFill="1" applyBorder="1"/>
    <xf numFmtId="0" fontId="21" fillId="0" borderId="36" xfId="0" applyFont="1" applyBorder="1"/>
    <xf numFmtId="3" fontId="20" fillId="0" borderId="10" xfId="0" applyNumberFormat="1" applyFont="1" applyFill="1" applyBorder="1"/>
    <xf numFmtId="3" fontId="20" fillId="6" borderId="11" xfId="0" applyNumberFormat="1" applyFont="1" applyFill="1" applyBorder="1"/>
    <xf numFmtId="3" fontId="20" fillId="8" borderId="41" xfId="0" applyNumberFormat="1" applyFont="1" applyFill="1" applyBorder="1"/>
    <xf numFmtId="3" fontId="21" fillId="0" borderId="37" xfId="0" applyNumberFormat="1" applyFont="1" applyFill="1" applyBorder="1"/>
    <xf numFmtId="3" fontId="21" fillId="2" borderId="37" xfId="0" applyNumberFormat="1" applyFont="1" applyFill="1" applyBorder="1"/>
    <xf numFmtId="3" fontId="21" fillId="6" borderId="25" xfId="0" applyNumberFormat="1" applyFont="1" applyFill="1" applyBorder="1"/>
    <xf numFmtId="3" fontId="21" fillId="8" borderId="24" xfId="0" applyNumberFormat="1" applyFont="1" applyFill="1" applyBorder="1"/>
    <xf numFmtId="3" fontId="21" fillId="3" borderId="37" xfId="0" applyNumberFormat="1" applyFont="1" applyFill="1" applyBorder="1"/>
    <xf numFmtId="3" fontId="21" fillId="7" borderId="25" xfId="0" applyNumberFormat="1" applyFont="1" applyFill="1" applyBorder="1"/>
    <xf numFmtId="3" fontId="21" fillId="6" borderId="20" xfId="0" applyNumberFormat="1" applyFont="1" applyFill="1" applyBorder="1"/>
    <xf numFmtId="3" fontId="21" fillId="8" borderId="48" xfId="0" applyNumberFormat="1" applyFont="1" applyFill="1" applyBorder="1"/>
    <xf numFmtId="3" fontId="21" fillId="7" borderId="20" xfId="0" applyNumberFormat="1" applyFont="1" applyFill="1" applyBorder="1"/>
    <xf numFmtId="3" fontId="27" fillId="2" borderId="5" xfId="0" applyNumberFormat="1" applyFont="1" applyFill="1" applyBorder="1"/>
    <xf numFmtId="3" fontId="27" fillId="2" borderId="37" xfId="0" applyNumberFormat="1" applyFont="1" applyFill="1" applyBorder="1"/>
    <xf numFmtId="3" fontId="31" fillId="0" borderId="5" xfId="0" applyNumberFormat="1" applyFont="1" applyFill="1" applyBorder="1"/>
    <xf numFmtId="3" fontId="31" fillId="2" borderId="5" xfId="0" applyNumberFormat="1" applyFont="1" applyFill="1" applyBorder="1"/>
    <xf numFmtId="3" fontId="31" fillId="6" borderId="14" xfId="0" applyNumberFormat="1" applyFont="1" applyFill="1" applyBorder="1"/>
    <xf numFmtId="3" fontId="31" fillId="8" borderId="47" xfId="0" applyNumberFormat="1" applyFont="1" applyFill="1" applyBorder="1"/>
    <xf numFmtId="3" fontId="31" fillId="0" borderId="0" xfId="0" applyNumberFormat="1" applyFont="1" applyFill="1" applyBorder="1"/>
    <xf numFmtId="3" fontId="31" fillId="7" borderId="14" xfId="0" applyNumberFormat="1" applyFont="1" applyFill="1" applyBorder="1"/>
    <xf numFmtId="3" fontId="31" fillId="0" borderId="37" xfId="0" applyNumberFormat="1" applyFont="1" applyFill="1" applyBorder="1"/>
    <xf numFmtId="3" fontId="31" fillId="2" borderId="37" xfId="0" applyNumberFormat="1" applyFont="1" applyFill="1" applyBorder="1"/>
    <xf numFmtId="3" fontId="31" fillId="6" borderId="25" xfId="0" applyNumberFormat="1" applyFont="1" applyFill="1" applyBorder="1"/>
    <xf numFmtId="3" fontId="31" fillId="8" borderId="24" xfId="0" applyNumberFormat="1" applyFont="1" applyFill="1" applyBorder="1"/>
    <xf numFmtId="3" fontId="31" fillId="3" borderId="37" xfId="0" applyNumberFormat="1" applyFont="1" applyFill="1" applyBorder="1"/>
    <xf numFmtId="3" fontId="31" fillId="7" borderId="25" xfId="0" applyNumberFormat="1" applyFont="1" applyFill="1" applyBorder="1"/>
    <xf numFmtId="3" fontId="21" fillId="0" borderId="16" xfId="0" applyNumberFormat="1" applyFont="1" applyFill="1" applyBorder="1"/>
    <xf numFmtId="3" fontId="21" fillId="6" borderId="17" xfId="0" applyNumberFormat="1" applyFont="1" applyFill="1" applyBorder="1"/>
    <xf numFmtId="3" fontId="21" fillId="8" borderId="15" xfId="0" applyNumberFormat="1" applyFont="1" applyFill="1" applyBorder="1"/>
    <xf numFmtId="0" fontId="22" fillId="0" borderId="0" xfId="0" applyFont="1" applyFill="1"/>
    <xf numFmtId="0" fontId="22" fillId="0" borderId="0" xfId="0" applyFont="1" applyFill="1" applyBorder="1"/>
    <xf numFmtId="3" fontId="20" fillId="3" borderId="60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3" fontId="20" fillId="3" borderId="42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right"/>
    </xf>
    <xf numFmtId="3" fontId="21" fillId="3" borderId="7" xfId="0" applyNumberFormat="1" applyFont="1" applyFill="1" applyBorder="1" applyAlignment="1">
      <alignment horizontal="right"/>
    </xf>
    <xf numFmtId="3" fontId="21" fillId="3" borderId="7" xfId="0" applyNumberFormat="1" applyFont="1" applyFill="1" applyBorder="1" applyAlignment="1" applyProtection="1">
      <alignment horizontal="right"/>
    </xf>
    <xf numFmtId="3" fontId="20" fillId="3" borderId="25" xfId="0" applyNumberFormat="1" applyFont="1" applyFill="1" applyBorder="1" applyAlignment="1" applyProtection="1">
      <alignment horizontal="right"/>
    </xf>
    <xf numFmtId="3" fontId="21" fillId="3" borderId="7" xfId="0" applyNumberFormat="1" applyFont="1" applyFill="1" applyBorder="1"/>
    <xf numFmtId="3" fontId="20" fillId="3" borderId="25" xfId="0" applyNumberFormat="1" applyFont="1" applyFill="1" applyBorder="1"/>
    <xf numFmtId="3" fontId="21" fillId="3" borderId="25" xfId="0" applyNumberFormat="1" applyFont="1" applyFill="1" applyBorder="1" applyAlignment="1">
      <alignment horizontal="right"/>
    </xf>
    <xf numFmtId="3" fontId="20" fillId="3" borderId="55" xfId="0" applyNumberFormat="1" applyFont="1" applyFill="1" applyBorder="1" applyAlignment="1">
      <alignment horizontal="right"/>
    </xf>
    <xf numFmtId="3" fontId="20" fillId="3" borderId="56" xfId="0" applyNumberFormat="1" applyFont="1" applyFill="1" applyBorder="1"/>
    <xf numFmtId="3" fontId="20" fillId="3" borderId="7" xfId="0" applyNumberFormat="1" applyFont="1" applyFill="1" applyBorder="1"/>
    <xf numFmtId="3" fontId="21" fillId="3" borderId="45" xfId="0" applyNumberFormat="1" applyFont="1" applyFill="1" applyBorder="1"/>
    <xf numFmtId="3" fontId="20" fillId="3" borderId="57" xfId="0" applyNumberFormat="1" applyFont="1" applyFill="1" applyBorder="1" applyAlignment="1" applyProtection="1">
      <alignment horizontal="right"/>
    </xf>
    <xf numFmtId="3" fontId="21" fillId="3" borderId="0" xfId="0" applyNumberFormat="1" applyFont="1" applyFill="1" applyBorder="1" applyAlignment="1" applyProtection="1">
      <alignment horizontal="right"/>
    </xf>
    <xf numFmtId="3" fontId="20" fillId="3" borderId="37" xfId="0" applyNumberFormat="1" applyFont="1" applyFill="1" applyBorder="1"/>
    <xf numFmtId="3" fontId="21" fillId="0" borderId="56" xfId="0" applyNumberFormat="1" applyFont="1" applyFill="1" applyBorder="1"/>
    <xf numFmtId="3" fontId="20" fillId="0" borderId="57" xfId="0" applyNumberFormat="1" applyFont="1" applyFill="1" applyBorder="1"/>
    <xf numFmtId="3" fontId="20" fillId="5" borderId="30" xfId="0" applyNumberFormat="1" applyFont="1" applyFill="1" applyBorder="1" applyAlignment="1">
      <alignment horizontal="center"/>
    </xf>
    <xf numFmtId="3" fontId="20" fillId="5" borderId="6" xfId="0" applyNumberFormat="1" applyFont="1" applyFill="1" applyBorder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3" fontId="20" fillId="5" borderId="6" xfId="0" applyNumberFormat="1" applyFont="1" applyFill="1" applyBorder="1" applyAlignment="1">
      <alignment horizontal="right"/>
    </xf>
    <xf numFmtId="3" fontId="21" fillId="5" borderId="6" xfId="0" applyNumberFormat="1" applyFont="1" applyFill="1" applyBorder="1" applyAlignment="1">
      <alignment horizontal="right"/>
    </xf>
    <xf numFmtId="3" fontId="21" fillId="5" borderId="6" xfId="0" applyNumberFormat="1" applyFont="1" applyFill="1" applyBorder="1" applyAlignment="1" applyProtection="1">
      <alignment horizontal="right"/>
    </xf>
    <xf numFmtId="3" fontId="20" fillId="5" borderId="18" xfId="0" applyNumberFormat="1" applyFont="1" applyFill="1" applyBorder="1" applyAlignment="1" applyProtection="1">
      <alignment horizontal="right"/>
    </xf>
    <xf numFmtId="3" fontId="21" fillId="5" borderId="6" xfId="0" applyNumberFormat="1" applyFont="1" applyFill="1" applyBorder="1"/>
    <xf numFmtId="3" fontId="20" fillId="5" borderId="18" xfId="0" applyNumberFormat="1" applyFont="1" applyFill="1" applyBorder="1"/>
    <xf numFmtId="3" fontId="21" fillId="5" borderId="18" xfId="0" applyNumberFormat="1" applyFont="1" applyFill="1" applyBorder="1" applyAlignment="1">
      <alignment horizontal="right"/>
    </xf>
    <xf numFmtId="3" fontId="20" fillId="5" borderId="31" xfId="0" applyNumberFormat="1" applyFont="1" applyFill="1" applyBorder="1" applyAlignment="1">
      <alignment horizontal="right"/>
    </xf>
    <xf numFmtId="3" fontId="20" fillId="5" borderId="22" xfId="0" applyNumberFormat="1" applyFont="1" applyFill="1" applyBorder="1"/>
    <xf numFmtId="3" fontId="20" fillId="5" borderId="6" xfId="0" applyNumberFormat="1" applyFont="1" applyFill="1" applyBorder="1"/>
    <xf numFmtId="3" fontId="21" fillId="5" borderId="29" xfId="0" applyNumberFormat="1" applyFont="1" applyFill="1" applyBorder="1"/>
    <xf numFmtId="3" fontId="20" fillId="5" borderId="26" xfId="0" applyNumberFormat="1" applyFont="1" applyFill="1" applyBorder="1" applyAlignment="1" applyProtection="1">
      <alignment horizontal="right"/>
    </xf>
    <xf numFmtId="3" fontId="20" fillId="5" borderId="6" xfId="0" applyNumberFormat="1" applyFont="1" applyFill="1" applyBorder="1" applyAlignment="1" applyProtection="1">
      <alignment horizontal="right"/>
    </xf>
    <xf numFmtId="3" fontId="20" fillId="3" borderId="37" xfId="0" applyNumberFormat="1" applyFont="1" applyFill="1" applyBorder="1" applyAlignment="1" applyProtection="1">
      <alignment horizontal="right"/>
    </xf>
    <xf numFmtId="3" fontId="21" fillId="3" borderId="42" xfId="0" applyNumberFormat="1" applyFont="1" applyFill="1" applyBorder="1"/>
    <xf numFmtId="3" fontId="20" fillId="3" borderId="24" xfId="0" applyNumberFormat="1" applyFont="1" applyFill="1" applyBorder="1" applyAlignment="1" applyProtection="1">
      <alignment horizontal="right"/>
    </xf>
    <xf numFmtId="3" fontId="21" fillId="3" borderId="33" xfId="0" applyNumberFormat="1" applyFont="1" applyFill="1" applyBorder="1" applyAlignment="1" applyProtection="1">
      <alignment horizontal="right"/>
    </xf>
    <xf numFmtId="3" fontId="20" fillId="3" borderId="58" xfId="0" applyNumberFormat="1" applyFont="1" applyFill="1" applyBorder="1" applyAlignment="1" applyProtection="1">
      <alignment horizontal="right"/>
    </xf>
    <xf numFmtId="3" fontId="21" fillId="3" borderId="59" xfId="0" applyNumberFormat="1" applyFont="1" applyFill="1" applyBorder="1"/>
    <xf numFmtId="3" fontId="21" fillId="3" borderId="58" xfId="0" applyNumberFormat="1" applyFont="1" applyFill="1" applyBorder="1"/>
    <xf numFmtId="3" fontId="31" fillId="3" borderId="33" xfId="0" applyNumberFormat="1" applyFont="1" applyFill="1" applyBorder="1"/>
    <xf numFmtId="3" fontId="21" fillId="5" borderId="6" xfId="0" applyNumberFormat="1" applyFont="1" applyFill="1" applyBorder="1" applyAlignment="1">
      <alignment horizontal="center"/>
    </xf>
    <xf numFmtId="3" fontId="20" fillId="5" borderId="2" xfId="0" applyNumberFormat="1" applyFont="1" applyFill="1" applyBorder="1" applyAlignment="1" applyProtection="1">
      <alignment horizontal="right"/>
    </xf>
    <xf numFmtId="3" fontId="20" fillId="5" borderId="2" xfId="0" applyNumberFormat="1" applyFont="1" applyFill="1" applyBorder="1" applyAlignment="1">
      <alignment horizontal="center"/>
    </xf>
    <xf numFmtId="3" fontId="21" fillId="5" borderId="2" xfId="0" applyNumberFormat="1" applyFont="1" applyFill="1" applyBorder="1"/>
    <xf numFmtId="0" fontId="21" fillId="5" borderId="6" xfId="0" applyFont="1" applyFill="1" applyBorder="1"/>
    <xf numFmtId="3" fontId="28" fillId="0" borderId="6" xfId="0" applyNumberFormat="1" applyFont="1" applyFill="1" applyBorder="1" applyAlignment="1" applyProtection="1">
      <alignment horizontal="right"/>
    </xf>
    <xf numFmtId="3" fontId="29" fillId="0" borderId="6" xfId="0" applyNumberFormat="1" applyFont="1" applyFill="1" applyBorder="1" applyAlignment="1" applyProtection="1">
      <alignment horizontal="right"/>
    </xf>
    <xf numFmtId="3" fontId="21" fillId="5" borderId="22" xfId="0" applyNumberFormat="1" applyFont="1" applyFill="1" applyBorder="1"/>
    <xf numFmtId="3" fontId="28" fillId="0" borderId="6" xfId="0" applyNumberFormat="1" applyFont="1" applyFill="1" applyBorder="1"/>
    <xf numFmtId="3" fontId="21" fillId="5" borderId="18" xfId="0" applyNumberFormat="1" applyFont="1" applyFill="1" applyBorder="1"/>
    <xf numFmtId="14" fontId="0" fillId="0" borderId="30" xfId="0" applyNumberFormat="1" applyBorder="1"/>
    <xf numFmtId="3" fontId="20" fillId="5" borderId="17" xfId="0" applyNumberFormat="1" applyFont="1" applyFill="1" applyBorder="1"/>
    <xf numFmtId="0" fontId="22" fillId="0" borderId="24" xfId="0" applyFont="1" applyBorder="1"/>
    <xf numFmtId="3" fontId="20" fillId="7" borderId="16" xfId="0" applyNumberFormat="1" applyFont="1" applyFill="1" applyBorder="1"/>
    <xf numFmtId="0" fontId="23" fillId="0" borderId="24" xfId="0" applyFont="1" applyBorder="1"/>
    <xf numFmtId="3" fontId="20" fillId="0" borderId="7" xfId="0" applyNumberFormat="1" applyFont="1" applyFill="1" applyBorder="1"/>
    <xf numFmtId="3" fontId="28" fillId="0" borderId="7" xfId="0" applyNumberFormat="1" applyFont="1" applyFill="1" applyBorder="1"/>
    <xf numFmtId="3" fontId="21" fillId="0" borderId="7" xfId="0" applyNumberFormat="1" applyFont="1" applyFill="1" applyBorder="1"/>
    <xf numFmtId="3" fontId="20" fillId="0" borderId="54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3" fontId="20" fillId="0" borderId="40" xfId="0" applyNumberFormat="1" applyFont="1" applyFill="1" applyBorder="1" applyAlignment="1">
      <alignment horizontal="center"/>
    </xf>
    <xf numFmtId="3" fontId="23" fillId="6" borderId="60" xfId="0" applyNumberFormat="1" applyFont="1" applyFill="1" applyBorder="1" applyAlignment="1">
      <alignment horizontal="center"/>
    </xf>
    <xf numFmtId="3" fontId="23" fillId="6" borderId="7" xfId="0" applyNumberFormat="1" applyFont="1" applyFill="1" applyBorder="1" applyAlignment="1">
      <alignment horizontal="center"/>
    </xf>
    <xf numFmtId="3" fontId="23" fillId="6" borderId="56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3" fillId="2" borderId="5" xfId="0" applyNumberFormat="1" applyFont="1" applyFill="1" applyBorder="1" applyAlignment="1">
      <alignment horizontal="center"/>
    </xf>
    <xf numFmtId="3" fontId="23" fillId="2" borderId="10" xfId="0" applyNumberFormat="1" applyFont="1" applyFill="1" applyBorder="1" applyAlignment="1">
      <alignment horizontal="center"/>
    </xf>
    <xf numFmtId="0" fontId="20" fillId="0" borderId="16" xfId="0" applyFont="1" applyBorder="1"/>
    <xf numFmtId="3" fontId="0" fillId="0" borderId="0" xfId="0" applyNumberFormat="1"/>
    <xf numFmtId="3" fontId="5" fillId="0" borderId="0" xfId="0" applyNumberFormat="1" applyFont="1"/>
  </cellXfs>
  <cellStyles count="5">
    <cellStyle name="Currency" xfId="4" builtin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6"/>
  <sheetViews>
    <sheetView tabSelected="1" topLeftCell="A175" zoomScaleNormal="100" workbookViewId="0">
      <pane xSplit="1" topLeftCell="F1" activePane="topRight" state="frozen"/>
      <selection activeCell="A52" sqref="A52"/>
      <selection pane="topRight" activeCell="N33" sqref="N33:N42"/>
    </sheetView>
  </sheetViews>
  <sheetFormatPr defaultRowHeight="14.5" x14ac:dyDescent="0.35"/>
  <cols>
    <col min="1" max="1" width="32" style="54" customWidth="1"/>
    <col min="2" max="4" width="9.54296875" style="54" hidden="1" customWidth="1"/>
    <col min="5" max="5" width="4.81640625" style="348" hidden="1" customWidth="1"/>
    <col min="6" max="6" width="15.6328125" style="54" customWidth="1"/>
    <col min="7" max="7" width="15.6328125" style="54" hidden="1" customWidth="1"/>
    <col min="8" max="8" width="13.08984375" style="349" hidden="1" customWidth="1"/>
    <col min="9" max="9" width="4" style="349" customWidth="1"/>
    <col min="10" max="11" width="15.6328125" style="54" customWidth="1"/>
    <col min="12" max="12" width="8.7265625" style="54" hidden="1" customWidth="1"/>
    <col min="13" max="13" width="15.81640625" style="54" customWidth="1"/>
    <col min="14" max="14" width="12.6328125" customWidth="1"/>
  </cols>
  <sheetData>
    <row r="1" spans="1:13" x14ac:dyDescent="0.35">
      <c r="A1" s="51" t="s">
        <v>0</v>
      </c>
      <c r="B1" s="52"/>
      <c r="C1" s="52"/>
      <c r="D1" s="52"/>
      <c r="E1" s="53"/>
      <c r="F1" s="52"/>
      <c r="G1" s="52"/>
      <c r="H1" s="53"/>
      <c r="I1" s="53"/>
      <c r="J1" s="52"/>
      <c r="K1" s="53"/>
      <c r="M1" s="52"/>
    </row>
    <row r="2" spans="1:13" x14ac:dyDescent="0.35">
      <c r="A2" s="55" t="s">
        <v>231</v>
      </c>
      <c r="B2" s="52"/>
      <c r="C2" s="52"/>
      <c r="D2" s="52"/>
      <c r="E2" s="53"/>
      <c r="F2" s="52"/>
      <c r="G2" s="52"/>
      <c r="H2" s="53"/>
      <c r="I2" s="53"/>
      <c r="J2" s="52"/>
      <c r="K2" s="53"/>
      <c r="M2" s="52"/>
    </row>
    <row r="3" spans="1:13" x14ac:dyDescent="0.35">
      <c r="A3" s="56">
        <v>44197</v>
      </c>
      <c r="B3" s="52"/>
      <c r="C3" s="52"/>
      <c r="D3" s="52"/>
      <c r="E3" s="53"/>
      <c r="F3" s="52"/>
      <c r="G3" s="52"/>
      <c r="H3" s="53"/>
      <c r="I3" s="53"/>
      <c r="J3" s="52"/>
      <c r="K3" s="53"/>
      <c r="M3" s="52"/>
    </row>
    <row r="4" spans="1:13" ht="15" thickBot="1" x14ac:dyDescent="0.4">
      <c r="A4" s="57"/>
      <c r="B4" s="52"/>
      <c r="C4" s="52"/>
      <c r="D4" s="52"/>
      <c r="E4" s="53"/>
      <c r="F4" s="52"/>
      <c r="G4" s="52"/>
      <c r="H4" s="53"/>
      <c r="I4" s="53"/>
      <c r="J4" s="52"/>
      <c r="K4" s="53"/>
      <c r="M4" s="52"/>
    </row>
    <row r="5" spans="1:13" x14ac:dyDescent="0.35">
      <c r="A5" s="58"/>
      <c r="B5" s="59"/>
      <c r="C5" s="60"/>
      <c r="D5" s="60"/>
      <c r="E5" s="411"/>
      <c r="F5" s="417" t="s">
        <v>215</v>
      </c>
      <c r="G5" s="414" t="s">
        <v>237</v>
      </c>
      <c r="H5" s="63" t="s">
        <v>238</v>
      </c>
      <c r="I5" s="64"/>
      <c r="J5" s="369" t="s">
        <v>284</v>
      </c>
      <c r="K5" s="350" t="s">
        <v>283</v>
      </c>
      <c r="M5" s="65" t="s">
        <v>270</v>
      </c>
    </row>
    <row r="6" spans="1:13" x14ac:dyDescent="0.35">
      <c r="A6" s="58"/>
      <c r="B6" s="66" t="s">
        <v>2</v>
      </c>
      <c r="C6" s="67" t="s">
        <v>1</v>
      </c>
      <c r="D6" s="67" t="s">
        <v>1</v>
      </c>
      <c r="E6" s="412" t="s">
        <v>1</v>
      </c>
      <c r="F6" s="418" t="s">
        <v>3</v>
      </c>
      <c r="G6" s="415" t="s">
        <v>234</v>
      </c>
      <c r="H6" s="69" t="s">
        <v>5</v>
      </c>
      <c r="I6" s="64"/>
      <c r="J6" s="370" t="s">
        <v>216</v>
      </c>
      <c r="K6" s="351" t="s">
        <v>4</v>
      </c>
      <c r="M6" s="70" t="s">
        <v>5</v>
      </c>
    </row>
    <row r="7" spans="1:13" ht="15" thickBot="1" x14ac:dyDescent="0.4">
      <c r="A7" s="58"/>
      <c r="B7" s="71" t="s">
        <v>6</v>
      </c>
      <c r="C7" s="71" t="s">
        <v>7</v>
      </c>
      <c r="D7" s="71" t="s">
        <v>8</v>
      </c>
      <c r="E7" s="413" t="s">
        <v>9</v>
      </c>
      <c r="F7" s="419" t="s">
        <v>229</v>
      </c>
      <c r="G7" s="416" t="s">
        <v>241</v>
      </c>
      <c r="H7" s="73" t="s">
        <v>235</v>
      </c>
      <c r="I7" s="64"/>
      <c r="J7" s="371" t="s">
        <v>9</v>
      </c>
      <c r="K7" s="352" t="s">
        <v>230</v>
      </c>
      <c r="M7" s="74" t="s">
        <v>285</v>
      </c>
    </row>
    <row r="8" spans="1:13" x14ac:dyDescent="0.35">
      <c r="A8" s="75" t="s">
        <v>10</v>
      </c>
      <c r="B8" s="76"/>
      <c r="C8" s="76"/>
      <c r="D8" s="76"/>
      <c r="E8" s="76"/>
      <c r="F8" s="77"/>
      <c r="G8" s="78"/>
      <c r="H8" s="79" t="s">
        <v>242</v>
      </c>
      <c r="I8" s="64"/>
      <c r="J8" s="372"/>
      <c r="K8" s="353"/>
      <c r="M8" s="80"/>
    </row>
    <row r="9" spans="1:13" x14ac:dyDescent="0.35">
      <c r="A9" s="81"/>
      <c r="B9" s="82"/>
      <c r="C9" s="82"/>
      <c r="D9" s="82"/>
      <c r="E9" s="82"/>
      <c r="F9" s="83"/>
      <c r="G9" s="84"/>
      <c r="H9" s="85"/>
      <c r="I9" s="86"/>
      <c r="J9" s="373"/>
      <c r="K9" s="354"/>
      <c r="M9" s="87"/>
    </row>
    <row r="10" spans="1:13" x14ac:dyDescent="0.35">
      <c r="A10" s="88" t="s">
        <v>218</v>
      </c>
      <c r="B10" s="89">
        <f t="shared" ref="B10:C11" si="0">SUM(B98)</f>
        <v>665547</v>
      </c>
      <c r="C10" s="89">
        <f t="shared" si="0"/>
        <v>675751</v>
      </c>
      <c r="D10" s="89">
        <v>644504</v>
      </c>
      <c r="E10" s="89">
        <f t="shared" ref="E10" si="1">SUM(E98)</f>
        <v>653735</v>
      </c>
      <c r="F10" s="90">
        <f t="shared" ref="F10:K11" si="2">SUM(F98)</f>
        <v>623000</v>
      </c>
      <c r="G10" s="91">
        <f t="shared" ref="G10" si="3">SUM(G98)</f>
        <v>195527</v>
      </c>
      <c r="H10" s="92">
        <f t="shared" ref="H10:H11" si="4">SUM(H98)</f>
        <v>16502</v>
      </c>
      <c r="I10" s="93"/>
      <c r="J10" s="374">
        <f>SUM(J98)</f>
        <v>649975</v>
      </c>
      <c r="K10" s="355">
        <f t="shared" si="2"/>
        <v>280060</v>
      </c>
      <c r="M10" s="94">
        <f t="shared" ref="M10" si="5">SUM(M98)</f>
        <v>293711</v>
      </c>
    </row>
    <row r="11" spans="1:13" ht="15" thickBot="1" x14ac:dyDescent="0.4">
      <c r="A11" s="88" t="s">
        <v>12</v>
      </c>
      <c r="B11" s="89">
        <f t="shared" si="0"/>
        <v>433829</v>
      </c>
      <c r="C11" s="89">
        <f t="shared" si="0"/>
        <v>421406</v>
      </c>
      <c r="D11" s="89">
        <v>402326</v>
      </c>
      <c r="E11" s="89">
        <f t="shared" ref="E11" si="6">SUM(E99)</f>
        <v>391586</v>
      </c>
      <c r="F11" s="90">
        <f t="shared" si="2"/>
        <v>370550</v>
      </c>
      <c r="G11" s="91">
        <f t="shared" ref="G11" si="7">SUM(G99)</f>
        <v>99734</v>
      </c>
      <c r="H11" s="92">
        <f t="shared" si="4"/>
        <v>28359</v>
      </c>
      <c r="I11" s="93"/>
      <c r="J11" s="374">
        <f>SUM(J99)</f>
        <v>291947</v>
      </c>
      <c r="K11" s="355">
        <f t="shared" si="2"/>
        <v>137846</v>
      </c>
      <c r="M11" s="94">
        <f t="shared" ref="M11" si="8">SUM(M99)</f>
        <v>165648</v>
      </c>
    </row>
    <row r="12" spans="1:13" ht="15" thickBot="1" x14ac:dyDescent="0.4">
      <c r="A12" s="95" t="s">
        <v>13</v>
      </c>
      <c r="B12" s="96">
        <f t="shared" ref="B12:D12" si="9">B10-B11</f>
        <v>231718</v>
      </c>
      <c r="C12" s="96">
        <f t="shared" si="9"/>
        <v>254345</v>
      </c>
      <c r="D12" s="96">
        <f t="shared" si="9"/>
        <v>242178</v>
      </c>
      <c r="E12" s="96">
        <f t="shared" ref="E12:K12" si="10">E10-E11</f>
        <v>262149</v>
      </c>
      <c r="F12" s="97">
        <f t="shared" si="10"/>
        <v>252450</v>
      </c>
      <c r="G12" s="98">
        <f t="shared" ref="G12" si="11">G10-G11</f>
        <v>95793</v>
      </c>
      <c r="H12" s="99">
        <f t="shared" si="10"/>
        <v>-11857</v>
      </c>
      <c r="I12" s="100"/>
      <c r="J12" s="375">
        <f>J10-J11</f>
        <v>358028</v>
      </c>
      <c r="K12" s="356">
        <f t="shared" si="10"/>
        <v>142214</v>
      </c>
      <c r="M12" s="101">
        <f t="shared" ref="M12" si="12">M10-M11</f>
        <v>128063</v>
      </c>
    </row>
    <row r="13" spans="1:13" x14ac:dyDescent="0.35">
      <c r="A13" s="102"/>
      <c r="B13" s="103"/>
      <c r="C13" s="103"/>
      <c r="D13" s="103"/>
      <c r="E13" s="103"/>
      <c r="F13" s="104"/>
      <c r="G13" s="105"/>
      <c r="H13" s="106"/>
      <c r="I13" s="53"/>
      <c r="J13" s="376"/>
      <c r="K13" s="357"/>
      <c r="M13" s="107"/>
    </row>
    <row r="14" spans="1:13" x14ac:dyDescent="0.35">
      <c r="A14" s="108" t="s">
        <v>14</v>
      </c>
      <c r="B14" s="89">
        <f t="shared" ref="B14:C14" si="13">SUM(B133)</f>
        <v>147971</v>
      </c>
      <c r="C14" s="89">
        <f t="shared" si="13"/>
        <v>135400</v>
      </c>
      <c r="D14" s="89">
        <v>161044</v>
      </c>
      <c r="E14" s="89">
        <f t="shared" ref="E14:K14" si="14">SUM(E133)</f>
        <v>201635</v>
      </c>
      <c r="F14" s="90">
        <f t="shared" si="14"/>
        <v>168432</v>
      </c>
      <c r="G14" s="91">
        <f t="shared" ref="G14" si="15">SUM(G133)</f>
        <v>30863</v>
      </c>
      <c r="H14" s="92">
        <f t="shared" si="14"/>
        <v>22863</v>
      </c>
      <c r="I14" s="93"/>
      <c r="J14" s="374">
        <f>SUM(J133)</f>
        <v>186632</v>
      </c>
      <c r="K14" s="355">
        <f t="shared" si="14"/>
        <v>53569</v>
      </c>
      <c r="M14" s="94">
        <f>SUM(M133)</f>
        <v>54579</v>
      </c>
    </row>
    <row r="15" spans="1:13" ht="15" thickBot="1" x14ac:dyDescent="0.4">
      <c r="A15" s="108" t="s">
        <v>15</v>
      </c>
      <c r="B15" s="89">
        <f t="shared" ref="B15:C15" si="16">SUM(B135)</f>
        <v>71987</v>
      </c>
      <c r="C15" s="89">
        <f t="shared" si="16"/>
        <v>77942</v>
      </c>
      <c r="D15" s="89">
        <v>98400</v>
      </c>
      <c r="E15" s="89">
        <f>SUM(E135)</f>
        <v>124924</v>
      </c>
      <c r="F15" s="90">
        <f>SUM(F134,F135)</f>
        <v>96465</v>
      </c>
      <c r="G15" s="91">
        <f t="shared" ref="G15:K15" si="17">SUM(G135)</f>
        <v>24225</v>
      </c>
      <c r="H15" s="92">
        <f t="shared" si="17"/>
        <v>19025</v>
      </c>
      <c r="I15" s="93"/>
      <c r="J15" s="374">
        <f>SUM(J135)</f>
        <v>109642</v>
      </c>
      <c r="K15" s="355">
        <f t="shared" si="17"/>
        <v>41170</v>
      </c>
      <c r="M15" s="94">
        <f>SUM(M135)</f>
        <v>48609</v>
      </c>
    </row>
    <row r="16" spans="1:13" ht="15" thickBot="1" x14ac:dyDescent="0.4">
      <c r="A16" s="95" t="s">
        <v>16</v>
      </c>
      <c r="B16" s="96">
        <f t="shared" ref="B16:K16" si="18">B14-B15</f>
        <v>75984</v>
      </c>
      <c r="C16" s="96">
        <f t="shared" si="18"/>
        <v>57458</v>
      </c>
      <c r="D16" s="96">
        <f t="shared" si="18"/>
        <v>62644</v>
      </c>
      <c r="E16" s="96">
        <f t="shared" ref="E16" si="19">E14-E15</f>
        <v>76711</v>
      </c>
      <c r="F16" s="97">
        <f>SUM(F14-F15)</f>
        <v>71967</v>
      </c>
      <c r="G16" s="98">
        <f>SUM(G14-G15)</f>
        <v>6638</v>
      </c>
      <c r="H16" s="99">
        <f>SUM(H14-H15)</f>
        <v>3838</v>
      </c>
      <c r="I16" s="100"/>
      <c r="J16" s="375">
        <f>J14-J15</f>
        <v>76990</v>
      </c>
      <c r="K16" s="356">
        <f t="shared" si="18"/>
        <v>12399</v>
      </c>
      <c r="M16" s="101">
        <f>SUM(M14-M15)</f>
        <v>5970</v>
      </c>
    </row>
    <row r="17" spans="1:13" x14ac:dyDescent="0.35">
      <c r="A17" s="102"/>
      <c r="B17" s="103"/>
      <c r="C17" s="103"/>
      <c r="D17" s="103"/>
      <c r="E17" s="103"/>
      <c r="F17" s="104"/>
      <c r="G17" s="105"/>
      <c r="H17" s="106"/>
      <c r="I17" s="53"/>
      <c r="J17" s="376"/>
      <c r="K17" s="357"/>
      <c r="M17" s="107"/>
    </row>
    <row r="18" spans="1:13" x14ac:dyDescent="0.35">
      <c r="A18" s="108" t="s">
        <v>17</v>
      </c>
      <c r="B18" s="89">
        <f t="shared" ref="B18:C19" si="20">SUM(B163)</f>
        <v>539029</v>
      </c>
      <c r="C18" s="89">
        <f t="shared" si="20"/>
        <v>539205</v>
      </c>
      <c r="D18" s="89">
        <v>556558</v>
      </c>
      <c r="E18" s="89">
        <f t="shared" ref="E18" si="21">SUM(E163)</f>
        <v>649337</v>
      </c>
      <c r="F18" s="90">
        <f t="shared" ref="F18:K19" si="22">SUM(F163)</f>
        <v>613200</v>
      </c>
      <c r="G18" s="91">
        <f t="shared" ref="G18" si="23">SUM(G163)</f>
        <v>144560</v>
      </c>
      <c r="H18" s="92">
        <f t="shared" ref="H18:H19" si="24">SUM(H163)</f>
        <v>144560</v>
      </c>
      <c r="I18" s="93"/>
      <c r="J18" s="374">
        <f>SUM(J163)</f>
        <v>649337</v>
      </c>
      <c r="K18" s="355">
        <f t="shared" si="22"/>
        <v>149497</v>
      </c>
      <c r="M18" s="94">
        <f>SUM(M163)</f>
        <v>150641</v>
      </c>
    </row>
    <row r="19" spans="1:13" ht="15" thickBot="1" x14ac:dyDescent="0.4">
      <c r="A19" s="108" t="s">
        <v>18</v>
      </c>
      <c r="B19" s="89">
        <f t="shared" si="20"/>
        <v>298311</v>
      </c>
      <c r="C19" s="89">
        <f t="shared" si="20"/>
        <v>325642</v>
      </c>
      <c r="D19" s="89">
        <v>332543</v>
      </c>
      <c r="E19" s="89">
        <f t="shared" ref="E19" si="25">SUM(E164)</f>
        <v>350130</v>
      </c>
      <c r="F19" s="90">
        <f t="shared" si="22"/>
        <v>341735</v>
      </c>
      <c r="G19" s="91">
        <f t="shared" ref="G19" si="26">SUM(G164)</f>
        <v>77000</v>
      </c>
      <c r="H19" s="92">
        <f t="shared" si="24"/>
        <v>77000</v>
      </c>
      <c r="I19" s="93"/>
      <c r="J19" s="374">
        <f>SUM(J164)</f>
        <v>346331</v>
      </c>
      <c r="K19" s="355">
        <f t="shared" si="22"/>
        <v>78364</v>
      </c>
      <c r="M19" s="94">
        <f>SUM(M164)</f>
        <v>78364</v>
      </c>
    </row>
    <row r="20" spans="1:13" ht="15" thickBot="1" x14ac:dyDescent="0.4">
      <c r="A20" s="95" t="s">
        <v>19</v>
      </c>
      <c r="B20" s="96">
        <f t="shared" ref="B20:D20" si="27">B18-B19</f>
        <v>240718</v>
      </c>
      <c r="C20" s="96">
        <f t="shared" si="27"/>
        <v>213563</v>
      </c>
      <c r="D20" s="96">
        <f t="shared" si="27"/>
        <v>224015</v>
      </c>
      <c r="E20" s="96">
        <f t="shared" ref="E20:K20" si="28">E18-E19</f>
        <v>299207</v>
      </c>
      <c r="F20" s="97">
        <f t="shared" si="28"/>
        <v>271465</v>
      </c>
      <c r="G20" s="98">
        <f t="shared" ref="G20" si="29">G18-G19</f>
        <v>67560</v>
      </c>
      <c r="H20" s="99">
        <f t="shared" si="28"/>
        <v>67560</v>
      </c>
      <c r="I20" s="100"/>
      <c r="J20" s="375">
        <f>J18-J19</f>
        <v>303006</v>
      </c>
      <c r="K20" s="356">
        <f t="shared" si="28"/>
        <v>71133</v>
      </c>
      <c r="M20" s="101">
        <f t="shared" ref="M20" si="30">M18-M19</f>
        <v>72277</v>
      </c>
    </row>
    <row r="21" spans="1:13" x14ac:dyDescent="0.35">
      <c r="A21" s="102"/>
      <c r="B21" s="103"/>
      <c r="C21" s="103"/>
      <c r="D21" s="103"/>
      <c r="E21" s="103"/>
      <c r="F21" s="104"/>
      <c r="G21" s="105"/>
      <c r="H21" s="106"/>
      <c r="I21" s="53"/>
      <c r="J21" s="376"/>
      <c r="K21" s="357"/>
      <c r="M21" s="107"/>
    </row>
    <row r="22" spans="1:13" x14ac:dyDescent="0.35">
      <c r="A22" s="108" t="s">
        <v>20</v>
      </c>
      <c r="B22" s="89">
        <f t="shared" ref="B22:C23" si="31">SUM(B206)</f>
        <v>380468</v>
      </c>
      <c r="C22" s="89">
        <f t="shared" si="31"/>
        <v>406090</v>
      </c>
      <c r="D22" s="89">
        <v>424690</v>
      </c>
      <c r="E22" s="89">
        <f>SUM(E206)</f>
        <v>388244</v>
      </c>
      <c r="F22" s="90">
        <f>SUM(F206)</f>
        <v>336125</v>
      </c>
      <c r="G22" s="91">
        <f t="shared" ref="G22" si="32">G206</f>
        <v>94750</v>
      </c>
      <c r="H22" s="92">
        <f t="shared" ref="H22:H23" si="33">H206</f>
        <v>69850</v>
      </c>
      <c r="I22" s="93"/>
      <c r="J22" s="374">
        <f>SUM(J206)</f>
        <v>386982</v>
      </c>
      <c r="K22" s="355">
        <f>SUM(K206)</f>
        <v>181096</v>
      </c>
      <c r="M22" s="94">
        <f t="shared" ref="M22" si="34">M206</f>
        <v>185461</v>
      </c>
    </row>
    <row r="23" spans="1:13" ht="15" thickBot="1" x14ac:dyDescent="0.4">
      <c r="A23" s="108" t="s">
        <v>21</v>
      </c>
      <c r="B23" s="89">
        <f t="shared" si="31"/>
        <v>283237</v>
      </c>
      <c r="C23" s="89">
        <f t="shared" si="31"/>
        <v>314976</v>
      </c>
      <c r="D23" s="89">
        <v>290642</v>
      </c>
      <c r="E23" s="89">
        <f>SUM(E207)</f>
        <v>265567</v>
      </c>
      <c r="F23" s="90">
        <f>SUM(F207)</f>
        <v>220752</v>
      </c>
      <c r="G23" s="91">
        <f t="shared" ref="G23" si="35">G207</f>
        <v>62410</v>
      </c>
      <c r="H23" s="92">
        <f t="shared" si="33"/>
        <v>41608</v>
      </c>
      <c r="I23" s="93"/>
      <c r="J23" s="374">
        <f>SUM(J207)</f>
        <v>244605</v>
      </c>
      <c r="K23" s="355">
        <f>SUM(K207)</f>
        <v>94640</v>
      </c>
      <c r="M23" s="94">
        <f t="shared" ref="M23" si="36">M207</f>
        <v>111222.75</v>
      </c>
    </row>
    <row r="24" spans="1:13" ht="15" thickBot="1" x14ac:dyDescent="0.4">
      <c r="A24" s="95" t="s">
        <v>22</v>
      </c>
      <c r="B24" s="96">
        <f t="shared" ref="B24:D24" si="37">B22-B23</f>
        <v>97231</v>
      </c>
      <c r="C24" s="96">
        <f t="shared" si="37"/>
        <v>91114</v>
      </c>
      <c r="D24" s="96">
        <f t="shared" si="37"/>
        <v>134048</v>
      </c>
      <c r="E24" s="96">
        <f t="shared" ref="E24:K24" si="38">E22-E23</f>
        <v>122677</v>
      </c>
      <c r="F24" s="97">
        <f t="shared" si="38"/>
        <v>115373</v>
      </c>
      <c r="G24" s="98">
        <f t="shared" ref="G24" si="39">G22-G23</f>
        <v>32340</v>
      </c>
      <c r="H24" s="99">
        <f t="shared" si="38"/>
        <v>28242</v>
      </c>
      <c r="I24" s="100"/>
      <c r="J24" s="375">
        <f>J22-J23</f>
        <v>142377</v>
      </c>
      <c r="K24" s="356">
        <f t="shared" si="38"/>
        <v>86456</v>
      </c>
      <c r="M24" s="101">
        <f t="shared" ref="M24" si="40">M22-M23</f>
        <v>74238.25</v>
      </c>
    </row>
    <row r="25" spans="1:13" x14ac:dyDescent="0.35">
      <c r="A25" s="95"/>
      <c r="B25" s="103"/>
      <c r="C25" s="103"/>
      <c r="D25" s="103"/>
      <c r="E25" s="103"/>
      <c r="F25" s="104"/>
      <c r="G25" s="105"/>
      <c r="H25" s="106"/>
      <c r="I25" s="53"/>
      <c r="J25" s="376"/>
      <c r="K25" s="357"/>
      <c r="M25" s="107"/>
    </row>
    <row r="26" spans="1:13" x14ac:dyDescent="0.35">
      <c r="A26" s="88" t="s">
        <v>23</v>
      </c>
      <c r="B26" s="103">
        <v>1725</v>
      </c>
      <c r="C26" s="103">
        <v>258</v>
      </c>
      <c r="D26" s="103">
        <v>5894</v>
      </c>
      <c r="E26" s="103"/>
      <c r="F26" s="104"/>
      <c r="G26" s="105"/>
      <c r="H26" s="106"/>
      <c r="I26" s="53"/>
      <c r="J26" s="376">
        <v>0</v>
      </c>
      <c r="K26" s="357"/>
      <c r="M26" s="107"/>
    </row>
    <row r="27" spans="1:13" ht="15" thickBot="1" x14ac:dyDescent="0.4">
      <c r="A27" s="81"/>
      <c r="B27" s="103"/>
      <c r="C27" s="103"/>
      <c r="D27" s="103"/>
      <c r="E27" s="103"/>
      <c r="F27" s="104"/>
      <c r="G27" s="105"/>
      <c r="H27" s="106"/>
      <c r="I27" s="53"/>
      <c r="J27" s="376"/>
      <c r="K27" s="357"/>
      <c r="M27" s="107"/>
    </row>
    <row r="28" spans="1:13" ht="15" thickBot="1" x14ac:dyDescent="0.4">
      <c r="A28" s="75" t="s">
        <v>24</v>
      </c>
      <c r="B28" s="109">
        <v>1725</v>
      </c>
      <c r="C28" s="109"/>
      <c r="D28" s="109">
        <f>D26</f>
        <v>5894</v>
      </c>
      <c r="E28" s="109"/>
      <c r="F28" s="110"/>
      <c r="G28" s="111"/>
      <c r="H28" s="112"/>
      <c r="I28" s="113"/>
      <c r="J28" s="377">
        <f>J26</f>
        <v>0</v>
      </c>
      <c r="K28" s="358"/>
      <c r="M28" s="114"/>
    </row>
    <row r="29" spans="1:13" x14ac:dyDescent="0.35">
      <c r="A29" s="95"/>
      <c r="B29" s="103"/>
      <c r="C29" s="103"/>
      <c r="D29" s="103"/>
      <c r="E29" s="103"/>
      <c r="F29" s="104"/>
      <c r="G29" s="105"/>
      <c r="H29" s="106"/>
      <c r="I29" s="53"/>
      <c r="J29" s="376"/>
      <c r="K29" s="357"/>
      <c r="M29" s="107"/>
    </row>
    <row r="30" spans="1:13" x14ac:dyDescent="0.35">
      <c r="A30" s="88" t="s">
        <v>25</v>
      </c>
      <c r="B30" s="103">
        <f t="shared" ref="B30:C30" si="41">SUM(B226)</f>
        <v>12686</v>
      </c>
      <c r="C30" s="103">
        <f t="shared" si="41"/>
        <v>21704</v>
      </c>
      <c r="D30" s="103">
        <v>18659</v>
      </c>
      <c r="E30" s="103">
        <f>SUM(E226)</f>
        <v>20999</v>
      </c>
      <c r="F30" s="104">
        <f t="shared" ref="F30" si="42">SUM(F226)</f>
        <v>18600</v>
      </c>
      <c r="G30" s="105">
        <f>SUM(G226)</f>
        <v>933</v>
      </c>
      <c r="H30" s="106">
        <v>933</v>
      </c>
      <c r="I30" s="53"/>
      <c r="J30" s="376">
        <f>SUM(J226)</f>
        <v>19634</v>
      </c>
      <c r="K30" s="357">
        <f>SUM(K226)</f>
        <v>858</v>
      </c>
      <c r="M30" s="107">
        <f>SUM(M226)</f>
        <v>858</v>
      </c>
    </row>
    <row r="31" spans="1:13" ht="15" thickBot="1" x14ac:dyDescent="0.4">
      <c r="A31" s="81" t="s">
        <v>26</v>
      </c>
      <c r="B31" s="103">
        <f t="shared" ref="B31:C31" si="43">SUM(B227,B228)</f>
        <v>1152</v>
      </c>
      <c r="C31" s="103">
        <f t="shared" si="43"/>
        <v>1132</v>
      </c>
      <c r="D31" s="103">
        <v>880</v>
      </c>
      <c r="E31" s="103">
        <f>SUM(E227)</f>
        <v>2566</v>
      </c>
      <c r="F31" s="104">
        <f t="shared" ref="F31" si="44">SUM(F227,F228)</f>
        <v>6285</v>
      </c>
      <c r="G31" s="105">
        <f>G227</f>
        <v>118</v>
      </c>
      <c r="H31" s="106">
        <f>H227</f>
        <v>118</v>
      </c>
      <c r="I31" s="53"/>
      <c r="J31" s="376">
        <f>SUM(J227)</f>
        <v>1918</v>
      </c>
      <c r="K31" s="357">
        <f>SUM(K227)</f>
        <v>118</v>
      </c>
      <c r="M31" s="107">
        <f>M227</f>
        <v>118</v>
      </c>
    </row>
    <row r="32" spans="1:13" ht="15" thickBot="1" x14ac:dyDescent="0.4">
      <c r="A32" s="75" t="s">
        <v>27</v>
      </c>
      <c r="B32" s="109">
        <f t="shared" ref="B32:K32" si="45">B30-B31</f>
        <v>11534</v>
      </c>
      <c r="C32" s="109">
        <f t="shared" si="45"/>
        <v>20572</v>
      </c>
      <c r="D32" s="109">
        <f t="shared" si="45"/>
        <v>17779</v>
      </c>
      <c r="E32" s="109">
        <f t="shared" ref="E32" si="46">E30-E31</f>
        <v>18433</v>
      </c>
      <c r="F32" s="110">
        <f t="shared" si="45"/>
        <v>12315</v>
      </c>
      <c r="G32" s="111">
        <f>G30-G31</f>
        <v>815</v>
      </c>
      <c r="H32" s="112">
        <f>H30-H31</f>
        <v>815</v>
      </c>
      <c r="I32" s="113"/>
      <c r="J32" s="377">
        <f>J30-J31</f>
        <v>17716</v>
      </c>
      <c r="K32" s="358">
        <f t="shared" si="45"/>
        <v>740</v>
      </c>
      <c r="M32" s="114">
        <f>M30-M31</f>
        <v>740</v>
      </c>
    </row>
    <row r="33" spans="1:14" ht="15" thickBot="1" x14ac:dyDescent="0.4">
      <c r="A33" s="75"/>
      <c r="B33" s="103"/>
      <c r="C33" s="103"/>
      <c r="D33" s="103"/>
      <c r="E33" s="103"/>
      <c r="F33" s="104"/>
      <c r="G33" s="105"/>
      <c r="H33" s="106"/>
      <c r="I33" s="53"/>
      <c r="J33" s="376"/>
      <c r="K33" s="357"/>
      <c r="M33" s="107"/>
    </row>
    <row r="34" spans="1:14" ht="15" thickBot="1" x14ac:dyDescent="0.4">
      <c r="A34" s="81" t="s">
        <v>28</v>
      </c>
      <c r="B34" s="115">
        <f>SUM(B10+B14+B18+B22+B26+B30)</f>
        <v>1747426</v>
      </c>
      <c r="C34" s="115">
        <f>SUM(C10+C14+C18+C22+C30+C26)</f>
        <v>1778408</v>
      </c>
      <c r="D34" s="115">
        <f>SUM(D10+D14+D18+D22+D30+D26)</f>
        <v>1811349</v>
      </c>
      <c r="E34" s="115">
        <f>SUM(E10+E14+E18+E22+E26+E30)</f>
        <v>1913950</v>
      </c>
      <c r="F34" s="116">
        <f>SUM(F10+F14+F18+F22+F30)</f>
        <v>1759357</v>
      </c>
      <c r="G34" s="117">
        <f t="shared" ref="G34" si="47">SUM(G10, G14, G18, G22, G30)</f>
        <v>466633</v>
      </c>
      <c r="H34" s="118">
        <f t="shared" ref="H34:H35" si="48">SUM(H10, H14, H18, H22, H30)</f>
        <v>254708</v>
      </c>
      <c r="I34" s="86"/>
      <c r="J34" s="378">
        <f>SUM(J10+J14+J18+J22+J30+J26)</f>
        <v>1892560</v>
      </c>
      <c r="K34" s="359">
        <f>SUM(K10+K14+K18+K22+K26+K30)</f>
        <v>665080</v>
      </c>
      <c r="M34" s="119">
        <f t="shared" ref="M34" si="49">SUM(M10, M14, M18, M22, M30)</f>
        <v>685250</v>
      </c>
      <c r="N34" s="421"/>
    </row>
    <row r="35" spans="1:14" ht="15" thickBot="1" x14ac:dyDescent="0.4">
      <c r="A35" s="108" t="s">
        <v>29</v>
      </c>
      <c r="B35" s="89">
        <f t="shared" ref="B35:K35" si="50">B23+B19+B15+B11+B31</f>
        <v>1088516</v>
      </c>
      <c r="C35" s="89">
        <f t="shared" si="50"/>
        <v>1141098</v>
      </c>
      <c r="D35" s="89">
        <f t="shared" si="50"/>
        <v>1124791</v>
      </c>
      <c r="E35" s="89">
        <f t="shared" ref="E35" si="51">E23+E19+E15+E11+E31</f>
        <v>1134773</v>
      </c>
      <c r="F35" s="90">
        <f>SUM(F11,F15,F19,F23,F31)</f>
        <v>1035787</v>
      </c>
      <c r="G35" s="91">
        <f t="shared" ref="G35" si="52">SUM(G11, G15, G19, G23, G31)</f>
        <v>263487</v>
      </c>
      <c r="H35" s="92">
        <f t="shared" si="48"/>
        <v>166110</v>
      </c>
      <c r="I35" s="93"/>
      <c r="J35" s="374">
        <f>J23+J19+J15+J11+J31</f>
        <v>994443</v>
      </c>
      <c r="K35" s="355">
        <f t="shared" si="50"/>
        <v>352138</v>
      </c>
      <c r="M35" s="94">
        <f t="shared" ref="M35" si="53">SUM(M11, M15, M19, M23, M31)</f>
        <v>403961.75</v>
      </c>
      <c r="N35" s="421"/>
    </row>
    <row r="36" spans="1:14" s="2" customFormat="1" x14ac:dyDescent="0.35">
      <c r="A36" s="120" t="s">
        <v>30</v>
      </c>
      <c r="B36" s="121">
        <f t="shared" ref="B36:D36" si="54">SUM(B34-B35)</f>
        <v>658910</v>
      </c>
      <c r="C36" s="121">
        <f t="shared" si="54"/>
        <v>637310</v>
      </c>
      <c r="D36" s="121">
        <f t="shared" si="54"/>
        <v>686558</v>
      </c>
      <c r="E36" s="121">
        <f t="shared" ref="E36:K36" si="55">SUM(E34-E35)</f>
        <v>779177</v>
      </c>
      <c r="F36" s="122">
        <f t="shared" si="55"/>
        <v>723570</v>
      </c>
      <c r="G36" s="123">
        <f t="shared" ref="G36" si="56">SUM(G34-G35)</f>
        <v>203146</v>
      </c>
      <c r="H36" s="124">
        <f t="shared" si="55"/>
        <v>88598</v>
      </c>
      <c r="I36" s="125"/>
      <c r="J36" s="379">
        <f>SUM(J34-J35)</f>
        <v>898117</v>
      </c>
      <c r="K36" s="360">
        <f t="shared" si="55"/>
        <v>312942</v>
      </c>
      <c r="L36" s="126"/>
      <c r="M36" s="127">
        <f t="shared" ref="M36" si="57">SUM(M34-M35)</f>
        <v>281288.25</v>
      </c>
    </row>
    <row r="37" spans="1:14" x14ac:dyDescent="0.35">
      <c r="A37" s="95" t="s">
        <v>31</v>
      </c>
      <c r="B37" s="128">
        <v>-579752</v>
      </c>
      <c r="C37" s="128">
        <v>-616095</v>
      </c>
      <c r="D37" s="128">
        <v>-685571</v>
      </c>
      <c r="E37" s="128">
        <f>SUM(E278)</f>
        <v>-654680</v>
      </c>
      <c r="F37" s="129">
        <f t="shared" ref="F37" si="58">F278</f>
        <v>-641904</v>
      </c>
      <c r="G37" s="130">
        <f>G278</f>
        <v>-408313</v>
      </c>
      <c r="H37" s="131">
        <f>H278</f>
        <v>-377302</v>
      </c>
      <c r="I37" s="113"/>
      <c r="J37" s="380">
        <f>SUM(J278)</f>
        <v>-576547</v>
      </c>
      <c r="K37" s="361">
        <f>SUM(K278)</f>
        <v>-448193</v>
      </c>
      <c r="M37" s="132">
        <f>M278</f>
        <v>-485925</v>
      </c>
      <c r="N37" s="421"/>
    </row>
    <row r="38" spans="1:14" hidden="1" x14ac:dyDescent="0.35">
      <c r="A38" s="108" t="s">
        <v>32</v>
      </c>
      <c r="B38" s="103"/>
      <c r="C38" s="103">
        <v>0</v>
      </c>
      <c r="D38" s="103">
        <v>0</v>
      </c>
      <c r="E38" s="103">
        <v>0</v>
      </c>
      <c r="F38" s="104">
        <v>0</v>
      </c>
      <c r="G38" s="105">
        <v>0</v>
      </c>
      <c r="H38" s="106">
        <v>0</v>
      </c>
      <c r="I38" s="53"/>
      <c r="J38" s="376">
        <v>0</v>
      </c>
      <c r="K38" s="357">
        <v>0</v>
      </c>
      <c r="M38" s="107">
        <v>0</v>
      </c>
    </row>
    <row r="39" spans="1:14" s="1" customFormat="1" x14ac:dyDescent="0.35">
      <c r="A39" s="133" t="s">
        <v>33</v>
      </c>
      <c r="B39" s="134">
        <f>SUM(B246)</f>
        <v>-47364</v>
      </c>
      <c r="C39" s="134">
        <f>SUM(C246)</f>
        <v>-46679</v>
      </c>
      <c r="D39" s="134">
        <v>-57505</v>
      </c>
      <c r="E39" s="134">
        <f>SUM(E246)</f>
        <v>-55855</v>
      </c>
      <c r="F39" s="135">
        <f>SUM(F246)</f>
        <v>-58300</v>
      </c>
      <c r="G39" s="136">
        <f>G246</f>
        <v>-21100</v>
      </c>
      <c r="H39" s="137">
        <f>H246</f>
        <v>-17600</v>
      </c>
      <c r="I39" s="113"/>
      <c r="J39" s="381">
        <f>SUM(J246)</f>
        <v>-47116</v>
      </c>
      <c r="K39" s="362">
        <f>SUM(K246)</f>
        <v>-21434</v>
      </c>
      <c r="L39" s="138"/>
      <c r="M39" s="139">
        <f>M246</f>
        <v>-24924</v>
      </c>
      <c r="N39" s="422"/>
    </row>
    <row r="40" spans="1:14" x14ac:dyDescent="0.35">
      <c r="A40" s="102" t="s">
        <v>226</v>
      </c>
      <c r="B40" s="103"/>
      <c r="C40" s="103"/>
      <c r="D40" s="103"/>
      <c r="E40" s="103">
        <v>34284</v>
      </c>
      <c r="F40" s="140"/>
      <c r="G40" s="141"/>
      <c r="H40" s="142"/>
      <c r="I40" s="53"/>
      <c r="J40" s="382">
        <v>34284</v>
      </c>
      <c r="K40" s="363"/>
      <c r="M40" s="143"/>
      <c r="N40" s="421"/>
    </row>
    <row r="41" spans="1:14" ht="15" thickBot="1" x14ac:dyDescent="0.4">
      <c r="A41" s="54" t="s">
        <v>289</v>
      </c>
      <c r="B41" s="103"/>
      <c r="C41" s="103"/>
      <c r="D41" s="103">
        <v>-621</v>
      </c>
      <c r="E41" s="103"/>
      <c r="F41" s="104"/>
      <c r="G41" s="105"/>
      <c r="H41" s="106"/>
      <c r="I41" s="53"/>
      <c r="J41" s="376">
        <v>-13000</v>
      </c>
      <c r="K41" s="357"/>
      <c r="M41" s="107"/>
    </row>
    <row r="42" spans="1:14" s="1" customFormat="1" ht="15" thickBot="1" x14ac:dyDescent="0.4">
      <c r="A42" s="133" t="s">
        <v>34</v>
      </c>
      <c r="B42" s="109">
        <f>SUM(B36:B41)</f>
        <v>31794</v>
      </c>
      <c r="C42" s="109">
        <f>SUM(C36:C41)</f>
        <v>-25464</v>
      </c>
      <c r="D42" s="109">
        <f>SUM(D36:D41)</f>
        <v>-57139</v>
      </c>
      <c r="E42" s="109"/>
      <c r="F42" s="110">
        <f t="shared" ref="F42:K42" si="59">SUM(F36:F41)</f>
        <v>23366</v>
      </c>
      <c r="G42" s="111">
        <f t="shared" si="59"/>
        <v>-226267</v>
      </c>
      <c r="H42" s="112">
        <f t="shared" si="59"/>
        <v>-306304</v>
      </c>
      <c r="I42" s="113"/>
      <c r="J42" s="377">
        <f>SUM(J36:J41)</f>
        <v>295738</v>
      </c>
      <c r="K42" s="358">
        <f t="shared" si="59"/>
        <v>-156685</v>
      </c>
      <c r="L42" s="138"/>
      <c r="M42" s="114">
        <f>SUM(M36:M41)</f>
        <v>-229560.75</v>
      </c>
    </row>
    <row r="43" spans="1:14" x14ac:dyDescent="0.35">
      <c r="A43" s="102" t="s">
        <v>223</v>
      </c>
      <c r="B43" s="103"/>
      <c r="C43" s="103"/>
      <c r="D43" s="103"/>
      <c r="E43" s="103"/>
      <c r="F43" s="104"/>
      <c r="G43" s="105"/>
      <c r="H43" s="106"/>
      <c r="I43" s="53"/>
      <c r="J43" s="376">
        <v>-2295</v>
      </c>
      <c r="K43" s="357"/>
      <c r="M43" s="107"/>
    </row>
    <row r="44" spans="1:14" x14ac:dyDescent="0.35">
      <c r="A44" s="102" t="s">
        <v>233</v>
      </c>
      <c r="B44" s="103">
        <v>0</v>
      </c>
      <c r="C44" s="103">
        <v>500</v>
      </c>
      <c r="D44" s="103">
        <v>500</v>
      </c>
      <c r="E44" s="103"/>
      <c r="F44" s="140"/>
      <c r="G44" s="141">
        <v>124000</v>
      </c>
      <c r="H44" s="142">
        <v>124000</v>
      </c>
      <c r="I44" s="53"/>
      <c r="J44" s="382">
        <v>0</v>
      </c>
      <c r="K44" s="363">
        <v>124730</v>
      </c>
      <c r="M44" s="143">
        <v>124730</v>
      </c>
    </row>
    <row r="45" spans="1:14" ht="15" thickBot="1" x14ac:dyDescent="0.4">
      <c r="A45" s="108" t="s">
        <v>35</v>
      </c>
      <c r="B45" s="144">
        <f>SUM(B36+B37+B39+B38+B44+B41)</f>
        <v>31794</v>
      </c>
      <c r="C45" s="144">
        <f>SUM(C36+C37+C39+C38+C44+C41)</f>
        <v>-24964</v>
      </c>
      <c r="D45" s="144">
        <f>SUM(D36+D37+D39+D38+D44+D41)</f>
        <v>-56639</v>
      </c>
      <c r="E45" s="144">
        <f>SUM(E36+E37+E39+E38+E44+E41+E40)</f>
        <v>102926</v>
      </c>
      <c r="F45" s="145">
        <f>SUM(F36+F37+F39+F38+F44+F41)</f>
        <v>23366</v>
      </c>
      <c r="G45" s="146">
        <f>SUM(G42:G44)</f>
        <v>-102267</v>
      </c>
      <c r="H45" s="147">
        <f>SUM(H42:H44)</f>
        <v>-182304</v>
      </c>
      <c r="I45" s="100"/>
      <c r="J45" s="383">
        <f>SUM(J42:J44)</f>
        <v>293443</v>
      </c>
      <c r="K45" s="364">
        <f>SUM(K42:K44)</f>
        <v>-31955</v>
      </c>
      <c r="M45" s="148">
        <f>SUM(M42:M44)</f>
        <v>-104830.75</v>
      </c>
    </row>
    <row r="46" spans="1:14" ht="15" thickBot="1" x14ac:dyDescent="0.4">
      <c r="A46" s="108" t="s">
        <v>223</v>
      </c>
      <c r="B46" s="149"/>
      <c r="C46" s="149"/>
      <c r="D46" s="149"/>
      <c r="E46" s="150">
        <v>-2295</v>
      </c>
      <c r="F46" s="151">
        <v>-2500</v>
      </c>
      <c r="G46" s="91"/>
      <c r="H46" s="92"/>
      <c r="I46" s="93"/>
      <c r="J46" s="384"/>
      <c r="K46" s="365"/>
      <c r="M46" s="94"/>
    </row>
    <row r="47" spans="1:14" ht="15" thickBot="1" x14ac:dyDescent="0.4">
      <c r="A47" s="152" t="s">
        <v>224</v>
      </c>
      <c r="B47" s="153" t="e">
        <f>SUM(B42+#REF!)</f>
        <v>#REF!</v>
      </c>
      <c r="C47" s="96" t="e">
        <f>SUM(#REF!+#REF!)</f>
        <v>#REF!</v>
      </c>
      <c r="D47" s="154">
        <v>-56634</v>
      </c>
      <c r="E47" s="155">
        <f t="shared" ref="E47:H47" si="60">SUM(E45:E46)</f>
        <v>100631</v>
      </c>
      <c r="F47" s="110">
        <f t="shared" si="60"/>
        <v>20866</v>
      </c>
      <c r="G47" s="111">
        <f t="shared" si="60"/>
        <v>-102267</v>
      </c>
      <c r="H47" s="112">
        <f t="shared" si="60"/>
        <v>-182304</v>
      </c>
      <c r="I47" s="113"/>
      <c r="J47" s="375">
        <f>SUM(J45:J46)</f>
        <v>293443</v>
      </c>
      <c r="K47" s="366">
        <f>SUM(K45:K46)</f>
        <v>-31955</v>
      </c>
      <c r="M47" s="114">
        <f>SUM(M45:M46)</f>
        <v>-104830.75</v>
      </c>
    </row>
    <row r="48" spans="1:14" x14ac:dyDescent="0.35">
      <c r="A48" s="156" t="s">
        <v>144</v>
      </c>
      <c r="B48" s="157">
        <v>-24025</v>
      </c>
      <c r="C48" s="128">
        <v>-24268</v>
      </c>
      <c r="D48" s="128">
        <v>-26936</v>
      </c>
      <c r="E48" s="157"/>
      <c r="F48" s="158"/>
      <c r="G48" s="159"/>
      <c r="H48" s="160"/>
      <c r="I48" s="53"/>
      <c r="J48" s="128"/>
      <c r="K48" s="367"/>
      <c r="M48" s="161"/>
    </row>
    <row r="49" spans="1:13" ht="15" thickBot="1" x14ac:dyDescent="0.4">
      <c r="A49" s="162" t="s">
        <v>225</v>
      </c>
      <c r="B49" s="163" t="e">
        <f t="shared" ref="B49:D49" si="61">B47+B48</f>
        <v>#REF!</v>
      </c>
      <c r="C49" s="163" t="e">
        <f t="shared" si="61"/>
        <v>#REF!</v>
      </c>
      <c r="D49" s="163">
        <f t="shared" si="61"/>
        <v>-83570</v>
      </c>
      <c r="E49" s="164"/>
      <c r="F49" s="165"/>
      <c r="G49" s="166"/>
      <c r="H49" s="167"/>
      <c r="I49" s="113"/>
      <c r="J49" s="163"/>
      <c r="K49" s="368"/>
      <c r="M49" s="168"/>
    </row>
    <row r="50" spans="1:13" x14ac:dyDescent="0.35">
      <c r="A50" s="162"/>
      <c r="B50" s="53"/>
      <c r="C50" s="113"/>
      <c r="D50" s="113"/>
      <c r="E50" s="53"/>
      <c r="F50" s="113"/>
      <c r="G50" s="169"/>
      <c r="H50" s="170"/>
      <c r="I50" s="113"/>
      <c r="J50" s="113"/>
      <c r="K50" s="53"/>
      <c r="M50" s="171"/>
    </row>
    <row r="51" spans="1:13" ht="15" thickBot="1" x14ac:dyDescent="0.4">
      <c r="A51" s="108"/>
      <c r="B51" s="53"/>
      <c r="C51" s="53"/>
      <c r="D51" s="53"/>
      <c r="E51" s="53"/>
      <c r="F51" s="53"/>
      <c r="G51" s="172"/>
      <c r="H51" s="173"/>
      <c r="I51" s="53"/>
      <c r="J51" s="53"/>
      <c r="K51" s="53"/>
      <c r="M51" s="174"/>
    </row>
    <row r="52" spans="1:13" x14ac:dyDescent="0.35">
      <c r="A52" s="58"/>
      <c r="B52" s="59"/>
      <c r="C52" s="60"/>
      <c r="D52" s="60"/>
      <c r="E52" s="61"/>
      <c r="F52" s="175" t="s">
        <v>215</v>
      </c>
      <c r="G52" s="62" t="s">
        <v>237</v>
      </c>
      <c r="H52" s="63" t="s">
        <v>238</v>
      </c>
      <c r="I52" s="64"/>
      <c r="J52" s="369" t="s">
        <v>217</v>
      </c>
      <c r="K52" s="350" t="s">
        <v>283</v>
      </c>
      <c r="M52" s="65" t="s">
        <v>270</v>
      </c>
    </row>
    <row r="53" spans="1:13" x14ac:dyDescent="0.35">
      <c r="A53" s="58"/>
      <c r="B53" s="66" t="s">
        <v>2</v>
      </c>
      <c r="C53" s="67" t="s">
        <v>1</v>
      </c>
      <c r="D53" s="67" t="s">
        <v>1</v>
      </c>
      <c r="E53" s="66" t="s">
        <v>1</v>
      </c>
      <c r="F53" s="176" t="s">
        <v>3</v>
      </c>
      <c r="G53" s="68" t="s">
        <v>234</v>
      </c>
      <c r="H53" s="69" t="s">
        <v>5</v>
      </c>
      <c r="I53" s="64"/>
      <c r="J53" s="370" t="s">
        <v>216</v>
      </c>
      <c r="K53" s="351" t="s">
        <v>4</v>
      </c>
      <c r="M53" s="70" t="s">
        <v>5</v>
      </c>
    </row>
    <row r="54" spans="1:13" ht="15" thickBot="1" x14ac:dyDescent="0.4">
      <c r="A54" s="58"/>
      <c r="B54" s="71" t="s">
        <v>6</v>
      </c>
      <c r="C54" s="71" t="s">
        <v>7</v>
      </c>
      <c r="D54" s="71" t="s">
        <v>8</v>
      </c>
      <c r="E54" s="71" t="s">
        <v>9</v>
      </c>
      <c r="F54" s="177" t="s">
        <v>229</v>
      </c>
      <c r="G54" s="72" t="s">
        <v>239</v>
      </c>
      <c r="H54" s="73" t="s">
        <v>235</v>
      </c>
      <c r="I54" s="64"/>
      <c r="J54" s="371" t="s">
        <v>9</v>
      </c>
      <c r="K54" s="352" t="s">
        <v>230</v>
      </c>
      <c r="M54" s="74" t="s">
        <v>285</v>
      </c>
    </row>
    <row r="55" spans="1:13" x14ac:dyDescent="0.35">
      <c r="A55" s="75" t="s">
        <v>36</v>
      </c>
      <c r="B55" s="178"/>
      <c r="C55" s="179"/>
      <c r="D55" s="179"/>
      <c r="E55" s="179"/>
      <c r="F55" s="180"/>
      <c r="G55" s="78"/>
      <c r="H55" s="79" t="s">
        <v>236</v>
      </c>
      <c r="I55" s="64"/>
      <c r="J55" s="393"/>
      <c r="K55" s="181"/>
      <c r="M55" s="80"/>
    </row>
    <row r="56" spans="1:13" x14ac:dyDescent="0.35">
      <c r="A56" s="58" t="s">
        <v>269</v>
      </c>
      <c r="B56" s="182"/>
      <c r="C56" s="183"/>
      <c r="D56" s="183"/>
      <c r="E56" s="183"/>
      <c r="F56" s="184"/>
      <c r="G56" s="172"/>
      <c r="H56" s="173"/>
      <c r="I56" s="53"/>
      <c r="J56" s="376"/>
      <c r="K56" s="185"/>
      <c r="M56" s="186"/>
    </row>
    <row r="57" spans="1:13" x14ac:dyDescent="0.35">
      <c r="A57" s="88" t="s">
        <v>11</v>
      </c>
      <c r="B57" s="182">
        <v>171992</v>
      </c>
      <c r="C57" s="183">
        <v>180586</v>
      </c>
      <c r="D57" s="183">
        <v>163111</v>
      </c>
      <c r="E57" s="183">
        <v>150982</v>
      </c>
      <c r="F57" s="184">
        <v>143000</v>
      </c>
      <c r="G57" s="172">
        <v>16502</v>
      </c>
      <c r="H57" s="173">
        <v>16502</v>
      </c>
      <c r="I57" s="53"/>
      <c r="J57" s="376">
        <v>150982</v>
      </c>
      <c r="K57" s="185">
        <v>14991</v>
      </c>
      <c r="M57" s="186">
        <v>13509</v>
      </c>
    </row>
    <row r="58" spans="1:13" x14ac:dyDescent="0.35">
      <c r="A58" s="88" t="s">
        <v>12</v>
      </c>
      <c r="B58" s="182">
        <v>72839</v>
      </c>
      <c r="C58" s="183">
        <v>71483</v>
      </c>
      <c r="D58" s="183">
        <v>65416</v>
      </c>
      <c r="E58" s="183">
        <v>57458</v>
      </c>
      <c r="F58" s="184">
        <v>59000</v>
      </c>
      <c r="G58" s="172">
        <v>11123</v>
      </c>
      <c r="H58" s="173">
        <v>11123</v>
      </c>
      <c r="I58" s="53"/>
      <c r="J58" s="376">
        <v>57444</v>
      </c>
      <c r="K58" s="185">
        <v>10661</v>
      </c>
      <c r="M58" s="186">
        <v>10661</v>
      </c>
    </row>
    <row r="59" spans="1:13" ht="15" thickBot="1" x14ac:dyDescent="0.4">
      <c r="A59" s="81" t="s">
        <v>37</v>
      </c>
      <c r="B59" s="182">
        <v>56227</v>
      </c>
      <c r="C59" s="183">
        <v>46214</v>
      </c>
      <c r="D59" s="183">
        <v>43645</v>
      </c>
      <c r="E59" s="183">
        <v>37637</v>
      </c>
      <c r="F59" s="184">
        <v>23000</v>
      </c>
      <c r="G59" s="172">
        <v>17236</v>
      </c>
      <c r="H59" s="173">
        <v>17236</v>
      </c>
      <c r="I59" s="53"/>
      <c r="J59" s="376">
        <v>35841</v>
      </c>
      <c r="K59" s="185">
        <v>17236</v>
      </c>
      <c r="M59" s="186">
        <v>17236</v>
      </c>
    </row>
    <row r="60" spans="1:13" ht="15" thickBot="1" x14ac:dyDescent="0.4">
      <c r="A60" s="75" t="s">
        <v>38</v>
      </c>
      <c r="B60" s="153">
        <f t="shared" ref="B60:D60" si="62">B57-(B58+B59)</f>
        <v>42926</v>
      </c>
      <c r="C60" s="187">
        <f t="shared" si="62"/>
        <v>62889</v>
      </c>
      <c r="D60" s="187">
        <f t="shared" si="62"/>
        <v>54050</v>
      </c>
      <c r="E60" s="187">
        <f>E57-(E58+E59)</f>
        <v>55887</v>
      </c>
      <c r="F60" s="188">
        <f>SUM(F57-F58-F59)</f>
        <v>61000</v>
      </c>
      <c r="G60" s="189">
        <f>G57-(G58+G59)</f>
        <v>-11857</v>
      </c>
      <c r="H60" s="190">
        <f>H57-(H58+H59)</f>
        <v>-11857</v>
      </c>
      <c r="I60" s="100"/>
      <c r="J60" s="375">
        <f>J57-(J58+J59)</f>
        <v>57697</v>
      </c>
      <c r="K60" s="385">
        <f>K57-(K58+K59)</f>
        <v>-12906</v>
      </c>
      <c r="M60" s="191">
        <f>M57-(M58+M59)</f>
        <v>-14388</v>
      </c>
    </row>
    <row r="61" spans="1:13" x14ac:dyDescent="0.35">
      <c r="A61" s="81"/>
      <c r="B61" s="182"/>
      <c r="C61" s="183"/>
      <c r="D61" s="183"/>
      <c r="E61" s="192"/>
      <c r="F61" s="193"/>
      <c r="G61" s="194"/>
      <c r="H61" s="195"/>
      <c r="I61" s="196"/>
      <c r="J61" s="376"/>
      <c r="K61" s="197"/>
      <c r="M61" s="198"/>
    </row>
    <row r="62" spans="1:13" x14ac:dyDescent="0.35">
      <c r="A62" s="58" t="s">
        <v>277</v>
      </c>
      <c r="B62" s="182"/>
      <c r="C62" s="183"/>
      <c r="D62" s="183"/>
      <c r="E62" s="192"/>
      <c r="F62" s="193"/>
      <c r="G62" s="194"/>
      <c r="H62" s="195"/>
      <c r="I62" s="196"/>
      <c r="J62" s="376"/>
      <c r="K62" s="197"/>
      <c r="M62" s="198"/>
    </row>
    <row r="63" spans="1:13" x14ac:dyDescent="0.35">
      <c r="A63" s="88" t="s">
        <v>39</v>
      </c>
      <c r="B63" s="182">
        <v>186886</v>
      </c>
      <c r="C63" s="183">
        <v>176447</v>
      </c>
      <c r="D63" s="183">
        <v>151539</v>
      </c>
      <c r="E63" s="183">
        <v>200180</v>
      </c>
      <c r="F63" s="184">
        <v>199000</v>
      </c>
      <c r="G63" s="172">
        <v>179025</v>
      </c>
      <c r="H63" s="173"/>
      <c r="I63" s="53"/>
      <c r="J63" s="376">
        <v>199940</v>
      </c>
      <c r="K63" s="185">
        <v>208643</v>
      </c>
      <c r="M63" s="186">
        <v>208643</v>
      </c>
    </row>
    <row r="64" spans="1:13" x14ac:dyDescent="0.35">
      <c r="A64" s="88" t="s">
        <v>12</v>
      </c>
      <c r="B64" s="182">
        <v>71735</v>
      </c>
      <c r="C64" s="183">
        <v>80465</v>
      </c>
      <c r="D64" s="183">
        <v>56025</v>
      </c>
      <c r="E64" s="183">
        <v>86598</v>
      </c>
      <c r="F64" s="184">
        <v>85900</v>
      </c>
      <c r="G64" s="172">
        <v>5000</v>
      </c>
      <c r="H64" s="173"/>
      <c r="I64" s="53"/>
      <c r="J64" s="376">
        <v>86573</v>
      </c>
      <c r="K64" s="185">
        <v>43052</v>
      </c>
      <c r="M64" s="186">
        <v>43052</v>
      </c>
    </row>
    <row r="65" spans="1:13" ht="15" thickBot="1" x14ac:dyDescent="0.4">
      <c r="A65" s="81" t="s">
        <v>37</v>
      </c>
      <c r="B65" s="182">
        <v>61507</v>
      </c>
      <c r="C65" s="183">
        <v>38128</v>
      </c>
      <c r="D65" s="183">
        <v>45816</v>
      </c>
      <c r="E65" s="183">
        <v>39002</v>
      </c>
      <c r="F65" s="184">
        <v>41000</v>
      </c>
      <c r="G65" s="172">
        <v>66375</v>
      </c>
      <c r="H65" s="173"/>
      <c r="I65" s="53"/>
      <c r="J65" s="376">
        <v>39002</v>
      </c>
      <c r="K65" s="185">
        <v>52060</v>
      </c>
      <c r="M65" s="186">
        <v>52060</v>
      </c>
    </row>
    <row r="66" spans="1:13" ht="15" thickBot="1" x14ac:dyDescent="0.4">
      <c r="A66" s="75" t="s">
        <v>40</v>
      </c>
      <c r="B66" s="153">
        <f t="shared" ref="B66:D66" si="63">B63-(B64+B65)</f>
        <v>53644</v>
      </c>
      <c r="C66" s="187">
        <f t="shared" si="63"/>
        <v>57854</v>
      </c>
      <c r="D66" s="187">
        <f t="shared" si="63"/>
        <v>49698</v>
      </c>
      <c r="E66" s="187">
        <f t="shared" ref="E66:K66" si="64">E63-(E64+E65)</f>
        <v>74580</v>
      </c>
      <c r="F66" s="188">
        <f t="shared" si="64"/>
        <v>72100</v>
      </c>
      <c r="G66" s="189">
        <f t="shared" ref="G66" si="65">G63-(G64+G65)</f>
        <v>107650</v>
      </c>
      <c r="H66" s="190">
        <f t="shared" si="64"/>
        <v>0</v>
      </c>
      <c r="I66" s="100"/>
      <c r="J66" s="375">
        <f>J63-(J64+J65)</f>
        <v>74365</v>
      </c>
      <c r="K66" s="385">
        <f t="shared" si="64"/>
        <v>113531</v>
      </c>
      <c r="M66" s="191">
        <f t="shared" ref="M66" si="66">M63-(M64+M65)</f>
        <v>113531</v>
      </c>
    </row>
    <row r="67" spans="1:13" x14ac:dyDescent="0.35">
      <c r="A67" s="81"/>
      <c r="B67" s="182"/>
      <c r="C67" s="183"/>
      <c r="D67" s="183"/>
      <c r="E67" s="192"/>
      <c r="F67" s="193"/>
      <c r="G67" s="194"/>
      <c r="H67" s="195"/>
      <c r="I67" s="196"/>
      <c r="J67" s="376"/>
      <c r="K67" s="197"/>
      <c r="M67" s="198"/>
    </row>
    <row r="68" spans="1:13" x14ac:dyDescent="0.35">
      <c r="A68" s="58" t="s">
        <v>276</v>
      </c>
      <c r="B68" s="182"/>
      <c r="C68" s="183"/>
      <c r="D68" s="183"/>
      <c r="E68" s="192"/>
      <c r="F68" s="193"/>
      <c r="G68" s="194"/>
      <c r="H68" s="195"/>
      <c r="I68" s="196"/>
      <c r="J68" s="376"/>
      <c r="K68" s="197"/>
      <c r="M68" s="198"/>
    </row>
    <row r="69" spans="1:13" x14ac:dyDescent="0.35">
      <c r="A69" s="88" t="s">
        <v>11</v>
      </c>
      <c r="B69" s="182">
        <v>187780</v>
      </c>
      <c r="C69" s="183">
        <v>199032</v>
      </c>
      <c r="D69" s="183">
        <v>166984</v>
      </c>
      <c r="E69" s="53">
        <v>151278</v>
      </c>
      <c r="F69" s="184">
        <v>147000</v>
      </c>
      <c r="G69" s="172">
        <v>0</v>
      </c>
      <c r="H69" s="173"/>
      <c r="I69" s="53"/>
      <c r="J69" s="376">
        <v>149382</v>
      </c>
      <c r="K69" s="357">
        <v>51325</v>
      </c>
      <c r="M69" s="186">
        <v>66458</v>
      </c>
    </row>
    <row r="70" spans="1:13" x14ac:dyDescent="0.35">
      <c r="A70" s="88" t="s">
        <v>12</v>
      </c>
      <c r="B70" s="182">
        <v>66208</v>
      </c>
      <c r="C70" s="183">
        <v>79626</v>
      </c>
      <c r="D70" s="183">
        <v>76435</v>
      </c>
      <c r="E70" s="53">
        <v>69629</v>
      </c>
      <c r="F70" s="184">
        <v>64650</v>
      </c>
      <c r="G70" s="172">
        <v>0</v>
      </c>
      <c r="H70" s="173"/>
      <c r="I70" s="53"/>
      <c r="J70" s="376">
        <v>8606</v>
      </c>
      <c r="K70" s="357">
        <v>3345</v>
      </c>
      <c r="M70" s="186">
        <v>20959</v>
      </c>
    </row>
    <row r="71" spans="1:13" ht="15" thickBot="1" x14ac:dyDescent="0.4">
      <c r="A71" s="81" t="s">
        <v>37</v>
      </c>
      <c r="B71" s="182">
        <v>59858</v>
      </c>
      <c r="C71" s="183">
        <v>43780</v>
      </c>
      <c r="D71" s="183">
        <v>34944</v>
      </c>
      <c r="E71" s="53">
        <v>30067</v>
      </c>
      <c r="F71" s="184">
        <v>28500</v>
      </c>
      <c r="G71" s="172">
        <v>0</v>
      </c>
      <c r="H71" s="173"/>
      <c r="I71" s="53"/>
      <c r="J71" s="376">
        <v>13312</v>
      </c>
      <c r="K71" s="386">
        <v>7812</v>
      </c>
      <c r="M71" s="186">
        <v>17394</v>
      </c>
    </row>
    <row r="72" spans="1:13" ht="15" thickBot="1" x14ac:dyDescent="0.4">
      <c r="A72" s="75" t="s">
        <v>41</v>
      </c>
      <c r="B72" s="153">
        <f t="shared" ref="B72:D72" si="67">B69-(B70+B71)</f>
        <v>61714</v>
      </c>
      <c r="C72" s="187">
        <f t="shared" si="67"/>
        <v>75626</v>
      </c>
      <c r="D72" s="187">
        <f t="shared" si="67"/>
        <v>55605</v>
      </c>
      <c r="E72" s="199">
        <f>SUM(E69-E70-E71)</f>
        <v>51582</v>
      </c>
      <c r="F72" s="188">
        <f>F69-(F70+F71)</f>
        <v>53850</v>
      </c>
      <c r="G72" s="189">
        <v>0</v>
      </c>
      <c r="H72" s="190">
        <f>H69-(H70+H71)</f>
        <v>0</v>
      </c>
      <c r="I72" s="100"/>
      <c r="J72" s="375">
        <f>J69-(J70+J71)</f>
        <v>127464</v>
      </c>
      <c r="K72" s="387">
        <f>SUM(K69-K70-K71)</f>
        <v>40168</v>
      </c>
      <c r="M72" s="191">
        <f>M69-(M70+M71)</f>
        <v>28105</v>
      </c>
    </row>
    <row r="73" spans="1:13" x14ac:dyDescent="0.35">
      <c r="A73" s="75"/>
      <c r="B73" s="182"/>
      <c r="C73" s="183"/>
      <c r="D73" s="183"/>
      <c r="E73" s="192"/>
      <c r="F73" s="193"/>
      <c r="G73" s="194" t="s">
        <v>228</v>
      </c>
      <c r="H73" s="195"/>
      <c r="I73" s="196"/>
      <c r="J73" s="376"/>
      <c r="K73" s="197"/>
      <c r="M73" s="198"/>
    </row>
    <row r="74" spans="1:13" x14ac:dyDescent="0.35">
      <c r="A74" s="75"/>
      <c r="B74" s="182"/>
      <c r="C74" s="183"/>
      <c r="D74" s="183"/>
      <c r="E74" s="192"/>
      <c r="F74" s="193"/>
      <c r="G74" s="194"/>
      <c r="H74" s="195"/>
      <c r="I74" s="196"/>
      <c r="J74" s="376"/>
      <c r="K74" s="197"/>
      <c r="M74" s="198"/>
    </row>
    <row r="75" spans="1:13" x14ac:dyDescent="0.35">
      <c r="A75" s="88" t="s">
        <v>42</v>
      </c>
      <c r="B75" s="182">
        <v>17880</v>
      </c>
      <c r="C75" s="183">
        <v>14015</v>
      </c>
      <c r="D75" s="183">
        <v>22546</v>
      </c>
      <c r="E75" s="183">
        <v>35405</v>
      </c>
      <c r="F75" s="184">
        <v>28000</v>
      </c>
      <c r="G75" s="172"/>
      <c r="H75" s="173"/>
      <c r="I75" s="53"/>
      <c r="J75" s="376">
        <v>35270</v>
      </c>
      <c r="K75" s="185">
        <v>5888</v>
      </c>
      <c r="M75" s="186">
        <v>5888</v>
      </c>
    </row>
    <row r="76" spans="1:13" ht="15" thickBot="1" x14ac:dyDescent="0.4">
      <c r="A76" s="88" t="s">
        <v>43</v>
      </c>
      <c r="B76" s="182">
        <v>6433</v>
      </c>
      <c r="C76" s="183">
        <v>3904</v>
      </c>
      <c r="D76" s="183">
        <v>7191</v>
      </c>
      <c r="E76" s="183">
        <v>9722</v>
      </c>
      <c r="F76" s="184">
        <v>11000</v>
      </c>
      <c r="G76" s="172"/>
      <c r="H76" s="173"/>
      <c r="I76" s="53"/>
      <c r="J76" s="376">
        <v>8659</v>
      </c>
      <c r="K76" s="185">
        <v>1794</v>
      </c>
      <c r="M76" s="186">
        <v>2400</v>
      </c>
    </row>
    <row r="77" spans="1:13" ht="15" thickBot="1" x14ac:dyDescent="0.4">
      <c r="A77" s="75" t="s">
        <v>44</v>
      </c>
      <c r="B77" s="153">
        <f t="shared" ref="B77:C77" si="68">SUM(B75-B76)</f>
        <v>11447</v>
      </c>
      <c r="C77" s="187">
        <f t="shared" si="68"/>
        <v>10111</v>
      </c>
      <c r="D77" s="187">
        <f t="shared" ref="D77" si="69">SUM(D75-D76)</f>
        <v>15355</v>
      </c>
      <c r="E77" s="187">
        <f t="shared" ref="E77:K77" si="70">SUM(E75-E76)</f>
        <v>25683</v>
      </c>
      <c r="F77" s="188">
        <f t="shared" si="70"/>
        <v>17000</v>
      </c>
      <c r="G77" s="189">
        <f t="shared" ref="G77" si="71">SUM(G75-G76)</f>
        <v>0</v>
      </c>
      <c r="H77" s="190">
        <f t="shared" si="70"/>
        <v>0</v>
      </c>
      <c r="I77" s="100"/>
      <c r="J77" s="375">
        <f>SUM(J75-J76)</f>
        <v>26611</v>
      </c>
      <c r="K77" s="385">
        <f t="shared" si="70"/>
        <v>4094</v>
      </c>
      <c r="M77" s="191">
        <f t="shared" ref="M77" si="72">SUM(M75-M76)</f>
        <v>3488</v>
      </c>
    </row>
    <row r="78" spans="1:13" x14ac:dyDescent="0.35">
      <c r="A78" s="75"/>
      <c r="B78" s="200"/>
      <c r="C78" s="201"/>
      <c r="D78" s="201"/>
      <c r="E78" s="201"/>
      <c r="F78" s="202"/>
      <c r="G78" s="203"/>
      <c r="H78" s="204"/>
      <c r="I78" s="100"/>
      <c r="J78" s="384"/>
      <c r="K78" s="205"/>
      <c r="M78" s="206"/>
    </row>
    <row r="79" spans="1:13" x14ac:dyDescent="0.35">
      <c r="A79" s="81" t="s">
        <v>45</v>
      </c>
      <c r="B79" s="182">
        <v>7236</v>
      </c>
      <c r="C79" s="183">
        <v>6312</v>
      </c>
      <c r="D79" s="183">
        <v>11008</v>
      </c>
      <c r="E79" s="183">
        <v>9268</v>
      </c>
      <c r="F79" s="184">
        <v>7000</v>
      </c>
      <c r="G79" s="172"/>
      <c r="H79" s="173"/>
      <c r="I79" s="53"/>
      <c r="J79" s="376">
        <v>9207</v>
      </c>
      <c r="K79" s="185">
        <v>5</v>
      </c>
      <c r="M79" s="186">
        <v>5</v>
      </c>
    </row>
    <row r="80" spans="1:13" ht="15" thickBot="1" x14ac:dyDescent="0.4">
      <c r="A80" s="81" t="s">
        <v>46</v>
      </c>
      <c r="B80" s="182">
        <v>835</v>
      </c>
      <c r="C80" s="183">
        <v>4048</v>
      </c>
      <c r="D80" s="183">
        <v>3720</v>
      </c>
      <c r="E80" s="183">
        <v>3504</v>
      </c>
      <c r="F80" s="184">
        <v>3000</v>
      </c>
      <c r="G80" s="172"/>
      <c r="H80" s="173"/>
      <c r="I80" s="53"/>
      <c r="J80" s="376">
        <v>2893</v>
      </c>
      <c r="K80" s="185">
        <v>567</v>
      </c>
      <c r="M80" s="186">
        <v>567</v>
      </c>
    </row>
    <row r="81" spans="1:13" ht="15" thickBot="1" x14ac:dyDescent="0.4">
      <c r="A81" s="58" t="s">
        <v>47</v>
      </c>
      <c r="B81" s="153">
        <f t="shared" ref="B81:D81" si="73">SUM(B79-B80)</f>
        <v>6401</v>
      </c>
      <c r="C81" s="187">
        <f t="shared" si="73"/>
        <v>2264</v>
      </c>
      <c r="D81" s="187">
        <f t="shared" si="73"/>
        <v>7288</v>
      </c>
      <c r="E81" s="187">
        <f t="shared" ref="E81:K81" si="74">SUM(E79-E80)</f>
        <v>5764</v>
      </c>
      <c r="F81" s="188">
        <f t="shared" si="74"/>
        <v>4000</v>
      </c>
      <c r="G81" s="189">
        <f t="shared" ref="G81" si="75">SUM(G79-G80)</f>
        <v>0</v>
      </c>
      <c r="H81" s="190">
        <f t="shared" si="74"/>
        <v>0</v>
      </c>
      <c r="I81" s="100"/>
      <c r="J81" s="375">
        <f>SUM(J79-J80)</f>
        <v>6314</v>
      </c>
      <c r="K81" s="385">
        <f t="shared" si="74"/>
        <v>-562</v>
      </c>
      <c r="M81" s="191">
        <f t="shared" ref="M81" si="76">SUM(M79-M80)</f>
        <v>-562</v>
      </c>
    </row>
    <row r="82" spans="1:13" x14ac:dyDescent="0.35">
      <c r="A82" s="75"/>
      <c r="B82" s="200"/>
      <c r="C82" s="201"/>
      <c r="D82" s="201"/>
      <c r="E82" s="201"/>
      <c r="F82" s="202"/>
      <c r="G82" s="203"/>
      <c r="H82" s="204"/>
      <c r="I82" s="100"/>
      <c r="J82" s="384"/>
      <c r="K82" s="205"/>
      <c r="M82" s="206"/>
    </row>
    <row r="83" spans="1:13" x14ac:dyDescent="0.35">
      <c r="A83" s="81" t="s">
        <v>220</v>
      </c>
      <c r="B83" s="182">
        <v>13676</v>
      </c>
      <c r="C83" s="183">
        <v>12685</v>
      </c>
      <c r="D83" s="183">
        <v>18562</v>
      </c>
      <c r="E83" s="183">
        <v>19209</v>
      </c>
      <c r="F83" s="184">
        <v>16000</v>
      </c>
      <c r="G83" s="172">
        <v>0</v>
      </c>
      <c r="H83" s="173">
        <v>0</v>
      </c>
      <c r="I83" s="53"/>
      <c r="J83" s="376">
        <v>17926</v>
      </c>
      <c r="K83" s="185">
        <v>378</v>
      </c>
      <c r="M83" s="207">
        <v>378</v>
      </c>
    </row>
    <row r="84" spans="1:13" ht="15" thickBot="1" x14ac:dyDescent="0.4">
      <c r="A84" s="81" t="s">
        <v>221</v>
      </c>
      <c r="B84" s="182">
        <v>10400</v>
      </c>
      <c r="C84" s="183">
        <v>13587</v>
      </c>
      <c r="D84" s="183">
        <v>14846</v>
      </c>
      <c r="E84" s="183">
        <v>16620</v>
      </c>
      <c r="F84" s="184">
        <v>14000</v>
      </c>
      <c r="G84" s="172">
        <v>0</v>
      </c>
      <c r="H84" s="173">
        <v>0</v>
      </c>
      <c r="I84" s="53"/>
      <c r="J84" s="376">
        <v>14288</v>
      </c>
      <c r="K84" s="185">
        <v>1319</v>
      </c>
      <c r="M84" s="207">
        <v>1319</v>
      </c>
    </row>
    <row r="85" spans="1:13" ht="15" thickBot="1" x14ac:dyDescent="0.4">
      <c r="A85" s="58" t="s">
        <v>48</v>
      </c>
      <c r="B85" s="153">
        <f t="shared" ref="B85:D85" si="77">SUM(B83-B84)</f>
        <v>3276</v>
      </c>
      <c r="C85" s="187">
        <f t="shared" si="77"/>
        <v>-902</v>
      </c>
      <c r="D85" s="187">
        <f t="shared" si="77"/>
        <v>3716</v>
      </c>
      <c r="E85" s="187">
        <f>SUM(E83-E84)</f>
        <v>2589</v>
      </c>
      <c r="F85" s="188">
        <f>SUM(F83-F84)</f>
        <v>2000</v>
      </c>
      <c r="G85" s="189">
        <v>0</v>
      </c>
      <c r="H85" s="190">
        <v>0</v>
      </c>
      <c r="I85" s="100"/>
      <c r="J85" s="375">
        <f>SUM(J83-J84)</f>
        <v>3638</v>
      </c>
      <c r="K85" s="385">
        <f>SUM(K83-K84)</f>
        <v>-941</v>
      </c>
      <c r="M85" s="208">
        <f>SUM(M83-M84)</f>
        <v>-941</v>
      </c>
    </row>
    <row r="86" spans="1:13" x14ac:dyDescent="0.35">
      <c r="A86" s="58"/>
      <c r="B86" s="200"/>
      <c r="C86" s="201"/>
      <c r="D86" s="201"/>
      <c r="E86" s="209"/>
      <c r="F86" s="210"/>
      <c r="G86" s="211"/>
      <c r="H86" s="212"/>
      <c r="I86" s="213"/>
      <c r="J86" s="384"/>
      <c r="K86" s="214"/>
      <c r="M86" s="215"/>
    </row>
    <row r="87" spans="1:13" x14ac:dyDescent="0.35">
      <c r="A87" s="58"/>
      <c r="B87" s="200"/>
      <c r="C87" s="201"/>
      <c r="D87" s="201"/>
      <c r="E87" s="209"/>
      <c r="F87" s="210"/>
      <c r="G87" s="211"/>
      <c r="H87" s="212"/>
      <c r="I87" s="213"/>
      <c r="J87" s="384"/>
      <c r="K87" s="214"/>
      <c r="M87" s="215"/>
    </row>
    <row r="88" spans="1:13" x14ac:dyDescent="0.35">
      <c r="A88" s="81" t="s">
        <v>49</v>
      </c>
      <c r="B88" s="182">
        <v>5165</v>
      </c>
      <c r="C88" s="183">
        <v>9720</v>
      </c>
      <c r="D88" s="183">
        <v>30120</v>
      </c>
      <c r="E88" s="183">
        <v>4355</v>
      </c>
      <c r="F88" s="184">
        <v>3000</v>
      </c>
      <c r="G88" s="172">
        <v>0</v>
      </c>
      <c r="H88" s="173">
        <v>0</v>
      </c>
      <c r="I88" s="53"/>
      <c r="J88" s="376">
        <v>4355</v>
      </c>
      <c r="K88" s="185">
        <v>0</v>
      </c>
      <c r="M88" s="186">
        <v>0</v>
      </c>
    </row>
    <row r="89" spans="1:13" ht="15" thickBot="1" x14ac:dyDescent="0.4">
      <c r="A89" s="81" t="s">
        <v>50</v>
      </c>
      <c r="B89" s="182">
        <v>1167</v>
      </c>
      <c r="C89" s="183">
        <v>10273</v>
      </c>
      <c r="D89" s="183">
        <v>18869</v>
      </c>
      <c r="E89" s="183">
        <v>4170</v>
      </c>
      <c r="F89" s="184">
        <v>500</v>
      </c>
      <c r="G89" s="172">
        <v>0</v>
      </c>
      <c r="H89" s="173">
        <v>0</v>
      </c>
      <c r="I89" s="53"/>
      <c r="J89" s="376">
        <v>3995</v>
      </c>
      <c r="K89" s="185">
        <v>0</v>
      </c>
      <c r="M89" s="186">
        <v>0</v>
      </c>
    </row>
    <row r="90" spans="1:13" ht="15" thickBot="1" x14ac:dyDescent="0.4">
      <c r="A90" s="58" t="s">
        <v>51</v>
      </c>
      <c r="B90" s="153">
        <f t="shared" ref="B90:D90" si="78">SUM(B88-B89)</f>
        <v>3998</v>
      </c>
      <c r="C90" s="187">
        <f t="shared" si="78"/>
        <v>-553</v>
      </c>
      <c r="D90" s="187">
        <f t="shared" si="78"/>
        <v>11251</v>
      </c>
      <c r="E90" s="187">
        <f>SUM(E88-E89)</f>
        <v>185</v>
      </c>
      <c r="F90" s="188">
        <f>SUM(F88-F89)</f>
        <v>2500</v>
      </c>
      <c r="G90" s="189">
        <v>0</v>
      </c>
      <c r="H90" s="190">
        <v>0</v>
      </c>
      <c r="I90" s="100"/>
      <c r="J90" s="375">
        <f>SUM(J88-J89)</f>
        <v>360</v>
      </c>
      <c r="K90" s="385">
        <v>0</v>
      </c>
      <c r="M90" s="191">
        <v>0</v>
      </c>
    </row>
    <row r="91" spans="1:13" x14ac:dyDescent="0.35">
      <c r="A91" s="58"/>
      <c r="B91" s="200"/>
      <c r="C91" s="201"/>
      <c r="D91" s="201"/>
      <c r="E91" s="209"/>
      <c r="F91" s="210"/>
      <c r="G91" s="211"/>
      <c r="H91" s="212"/>
      <c r="I91" s="213"/>
      <c r="J91" s="384"/>
      <c r="K91" s="214"/>
      <c r="M91" s="215"/>
    </row>
    <row r="92" spans="1:13" x14ac:dyDescent="0.35">
      <c r="A92" s="81"/>
      <c r="B92" s="182"/>
      <c r="C92" s="183"/>
      <c r="D92" s="183"/>
      <c r="E92" s="192"/>
      <c r="F92" s="193"/>
      <c r="G92" s="194"/>
      <c r="H92" s="195"/>
      <c r="I92" s="196"/>
      <c r="J92" s="376"/>
      <c r="K92" s="197"/>
      <c r="M92" s="198"/>
    </row>
    <row r="93" spans="1:13" x14ac:dyDescent="0.35">
      <c r="A93" s="81" t="s">
        <v>52</v>
      </c>
      <c r="B93" s="182">
        <v>74932</v>
      </c>
      <c r="C93" s="183">
        <v>76954</v>
      </c>
      <c r="D93" s="183">
        <v>80635</v>
      </c>
      <c r="E93" s="183">
        <v>83058</v>
      </c>
      <c r="F93" s="184">
        <v>80000</v>
      </c>
      <c r="G93" s="172">
        <v>0</v>
      </c>
      <c r="H93" s="173">
        <v>0</v>
      </c>
      <c r="I93" s="53"/>
      <c r="J93" s="376">
        <v>82913</v>
      </c>
      <c r="K93" s="185">
        <v>-1170</v>
      </c>
      <c r="M93" s="186">
        <v>-1170</v>
      </c>
    </row>
    <row r="94" spans="1:13" ht="15" thickBot="1" x14ac:dyDescent="0.4">
      <c r="A94" s="81" t="s">
        <v>53</v>
      </c>
      <c r="B94" s="182">
        <v>26620</v>
      </c>
      <c r="C94" s="183">
        <v>29898</v>
      </c>
      <c r="D94" s="183">
        <v>35418</v>
      </c>
      <c r="E94" s="183">
        <v>37179</v>
      </c>
      <c r="F94" s="184">
        <v>40000</v>
      </c>
      <c r="G94" s="172">
        <v>0</v>
      </c>
      <c r="H94" s="173">
        <v>0</v>
      </c>
      <c r="I94" s="53"/>
      <c r="J94" s="376">
        <v>21334</v>
      </c>
      <c r="K94" s="185">
        <v>0</v>
      </c>
      <c r="M94" s="186">
        <v>0</v>
      </c>
    </row>
    <row r="95" spans="1:13" ht="15" thickBot="1" x14ac:dyDescent="0.4">
      <c r="A95" s="58" t="s">
        <v>54</v>
      </c>
      <c r="B95" s="153">
        <f t="shared" ref="B95:D95" si="79">SUM(B93-B94)</f>
        <v>48312</v>
      </c>
      <c r="C95" s="187">
        <f t="shared" si="79"/>
        <v>47056</v>
      </c>
      <c r="D95" s="187">
        <f t="shared" si="79"/>
        <v>45217</v>
      </c>
      <c r="E95" s="187">
        <f>SUM(E93-E94)</f>
        <v>45879</v>
      </c>
      <c r="F95" s="188">
        <f>SUM(F93-F94)</f>
        <v>40000</v>
      </c>
      <c r="G95" s="189">
        <v>0</v>
      </c>
      <c r="H95" s="190">
        <v>0</v>
      </c>
      <c r="I95" s="100"/>
      <c r="J95" s="375">
        <f>SUM(J93-J94)</f>
        <v>61579</v>
      </c>
      <c r="K95" s="385">
        <f>SUM(K93-K94)</f>
        <v>-1170</v>
      </c>
      <c r="M95" s="191">
        <f>SUM(M93-M94)</f>
        <v>-1170</v>
      </c>
    </row>
    <row r="96" spans="1:13" x14ac:dyDescent="0.35">
      <c r="A96" s="58"/>
      <c r="B96" s="200"/>
      <c r="C96" s="201"/>
      <c r="D96" s="201"/>
      <c r="E96" s="209"/>
      <c r="F96" s="210"/>
      <c r="G96" s="211"/>
      <c r="H96" s="212"/>
      <c r="I96" s="213"/>
      <c r="J96" s="384"/>
      <c r="K96" s="214"/>
      <c r="M96" s="215"/>
    </row>
    <row r="97" spans="1:13" x14ac:dyDescent="0.35">
      <c r="A97" s="75" t="s">
        <v>55</v>
      </c>
      <c r="B97" s="182"/>
      <c r="C97" s="183"/>
      <c r="D97" s="183"/>
      <c r="E97" s="192"/>
      <c r="F97" s="193"/>
      <c r="G97" s="194"/>
      <c r="H97" s="195"/>
      <c r="I97" s="196"/>
      <c r="J97" s="376"/>
      <c r="K97" s="197"/>
      <c r="M97" s="198"/>
    </row>
    <row r="98" spans="1:13" x14ac:dyDescent="0.35">
      <c r="A98" s="88" t="s">
        <v>56</v>
      </c>
      <c r="B98" s="216">
        <f t="shared" ref="B98:D98" si="80">SUM(B57,B63,B69,B75,B93,B83,B88,B79)</f>
        <v>665547</v>
      </c>
      <c r="C98" s="217">
        <f t="shared" si="80"/>
        <v>675751</v>
      </c>
      <c r="D98" s="217">
        <f t="shared" si="80"/>
        <v>644505</v>
      </c>
      <c r="E98" s="217">
        <f t="shared" ref="E98:K98" si="81">SUM(E57,E63,E69,E75,E93,E83,E88,E79)</f>
        <v>653735</v>
      </c>
      <c r="F98" s="218">
        <f t="shared" si="81"/>
        <v>623000</v>
      </c>
      <c r="G98" s="219">
        <f t="shared" ref="G98" si="82">SUM(G57,G63,G69,G75,G93,G83,G88,G79)</f>
        <v>195527</v>
      </c>
      <c r="H98" s="220">
        <f t="shared" si="81"/>
        <v>16502</v>
      </c>
      <c r="I98" s="93"/>
      <c r="J98" s="374">
        <f>SUM(J57,J63,J69,J75,J93,J83,J88,J79)</f>
        <v>649975</v>
      </c>
      <c r="K98" s="388">
        <f t="shared" si="81"/>
        <v>280060</v>
      </c>
      <c r="M98" s="221">
        <f t="shared" ref="M98" si="83">SUM(M57,M63,M69,M75,M93,M83,M88,M79)</f>
        <v>293711</v>
      </c>
    </row>
    <row r="99" spans="1:13" ht="15" thickBot="1" x14ac:dyDescent="0.4">
      <c r="A99" s="88" t="s">
        <v>57</v>
      </c>
      <c r="B99" s="216">
        <f t="shared" ref="B99:D99" si="84">SUM(B58+B59+B64+B65+B70+B71+B76,B94,B84,B89,B80)</f>
        <v>433829</v>
      </c>
      <c r="C99" s="217">
        <f t="shared" si="84"/>
        <v>421406</v>
      </c>
      <c r="D99" s="217">
        <f t="shared" si="84"/>
        <v>402325</v>
      </c>
      <c r="E99" s="217">
        <f>SUM(E58,E59,E64,E65,E70,E71,E76,E94,E84,E89,E80)</f>
        <v>391586</v>
      </c>
      <c r="F99" s="218">
        <f>SUM(F58+F59+F64+F65+F70+F71+F76,F94,F84,F89,F80)</f>
        <v>370550</v>
      </c>
      <c r="G99" s="219">
        <f>SUM(G58+G59+G64+G65+G70+G71+G76,G94,G84,G89,G80)</f>
        <v>99734</v>
      </c>
      <c r="H99" s="220">
        <f>SUM(H58+H59+H64+H65+H70+H71+H76,H94,H84,H89,H80)</f>
        <v>28359</v>
      </c>
      <c r="I99" s="93"/>
      <c r="J99" s="374">
        <f>SUM(J58+J59+J64+J65+J70+J71+J76,J94,J84,J89,J80)</f>
        <v>291947</v>
      </c>
      <c r="K99" s="388">
        <f>SUM(K58,K59,K64,K65,K70,K71,K76,K94,K84,K89,K80)</f>
        <v>137846</v>
      </c>
      <c r="M99" s="221">
        <f>SUM(M58+M59+M64+M65+M70+M71+M76,M94,M84,M89,M80)</f>
        <v>165648</v>
      </c>
    </row>
    <row r="100" spans="1:13" x14ac:dyDescent="0.35">
      <c r="A100" s="75" t="s">
        <v>58</v>
      </c>
      <c r="B100" s="222">
        <f t="shared" ref="B100:D100" si="85">B98-B99</f>
        <v>231718</v>
      </c>
      <c r="C100" s="223">
        <f t="shared" si="85"/>
        <v>254345</v>
      </c>
      <c r="D100" s="223">
        <f t="shared" si="85"/>
        <v>242180</v>
      </c>
      <c r="E100" s="223">
        <f t="shared" ref="E100:K100" si="86">E98-E99</f>
        <v>262149</v>
      </c>
      <c r="F100" s="224">
        <f t="shared" si="86"/>
        <v>252450</v>
      </c>
      <c r="G100" s="225">
        <f t="shared" ref="G100" si="87">G98-G99</f>
        <v>95793</v>
      </c>
      <c r="H100" s="226">
        <f t="shared" si="86"/>
        <v>-11857</v>
      </c>
      <c r="I100" s="100"/>
      <c r="J100" s="394">
        <f>J98-J99</f>
        <v>358028</v>
      </c>
      <c r="K100" s="389">
        <f t="shared" si="86"/>
        <v>142214</v>
      </c>
      <c r="M100" s="227">
        <f t="shared" ref="M100" si="88">M98-M99</f>
        <v>128063</v>
      </c>
    </row>
    <row r="101" spans="1:13" ht="15" thickBot="1" x14ac:dyDescent="0.4">
      <c r="A101" s="162"/>
      <c r="B101" s="228"/>
      <c r="C101" s="53"/>
      <c r="D101" s="53"/>
      <c r="E101" s="53"/>
      <c r="F101" s="53"/>
      <c r="G101" s="172"/>
      <c r="H101" s="173"/>
      <c r="I101" s="53"/>
      <c r="J101" s="103"/>
      <c r="K101" s="53"/>
      <c r="M101" s="174"/>
    </row>
    <row r="102" spans="1:13" x14ac:dyDescent="0.35">
      <c r="A102" s="81"/>
      <c r="B102" s="59"/>
      <c r="C102" s="60"/>
      <c r="D102" s="60"/>
      <c r="E102" s="61"/>
      <c r="F102" s="175" t="s">
        <v>215</v>
      </c>
      <c r="G102" s="62" t="s">
        <v>237</v>
      </c>
      <c r="H102" s="63" t="s">
        <v>238</v>
      </c>
      <c r="I102" s="64"/>
      <c r="J102" s="395" t="s">
        <v>217</v>
      </c>
      <c r="K102" s="350" t="s">
        <v>283</v>
      </c>
      <c r="M102" s="65" t="s">
        <v>270</v>
      </c>
    </row>
    <row r="103" spans="1:13" x14ac:dyDescent="0.35">
      <c r="A103" s="81"/>
      <c r="B103" s="66" t="s">
        <v>2</v>
      </c>
      <c r="C103" s="67" t="s">
        <v>1</v>
      </c>
      <c r="D103" s="67" t="s">
        <v>1</v>
      </c>
      <c r="E103" s="66" t="s">
        <v>1</v>
      </c>
      <c r="F103" s="176" t="s">
        <v>3</v>
      </c>
      <c r="G103" s="68" t="s">
        <v>234</v>
      </c>
      <c r="H103" s="69" t="s">
        <v>5</v>
      </c>
      <c r="I103" s="64"/>
      <c r="J103" s="370" t="s">
        <v>216</v>
      </c>
      <c r="K103" s="351" t="s">
        <v>4</v>
      </c>
      <c r="M103" s="70" t="s">
        <v>5</v>
      </c>
    </row>
    <row r="104" spans="1:13" ht="15" thickBot="1" x14ac:dyDescent="0.4">
      <c r="A104" s="81"/>
      <c r="B104" s="71" t="s">
        <v>6</v>
      </c>
      <c r="C104" s="71" t="s">
        <v>7</v>
      </c>
      <c r="D104" s="71" t="s">
        <v>8</v>
      </c>
      <c r="E104" s="71" t="s">
        <v>9</v>
      </c>
      <c r="F104" s="177" t="s">
        <v>229</v>
      </c>
      <c r="G104" s="72" t="s">
        <v>239</v>
      </c>
      <c r="H104" s="73" t="s">
        <v>235</v>
      </c>
      <c r="I104" s="64"/>
      <c r="J104" s="371" t="s">
        <v>9</v>
      </c>
      <c r="K104" s="352" t="s">
        <v>230</v>
      </c>
      <c r="M104" s="74" t="s">
        <v>285</v>
      </c>
    </row>
    <row r="105" spans="1:13" x14ac:dyDescent="0.35">
      <c r="A105" s="75" t="s">
        <v>59</v>
      </c>
      <c r="B105" s="182"/>
      <c r="C105" s="183"/>
      <c r="D105" s="183"/>
      <c r="E105" s="183"/>
      <c r="F105" s="184"/>
      <c r="G105" s="78"/>
      <c r="H105" s="79" t="s">
        <v>236</v>
      </c>
      <c r="I105" s="64"/>
      <c r="J105" s="376"/>
      <c r="K105" s="185"/>
      <c r="M105" s="80"/>
    </row>
    <row r="106" spans="1:13" x14ac:dyDescent="0.35">
      <c r="A106" s="58" t="s">
        <v>60</v>
      </c>
      <c r="B106" s="182"/>
      <c r="C106" s="183" t="s">
        <v>61</v>
      </c>
      <c r="D106" s="183" t="s">
        <v>61</v>
      </c>
      <c r="E106" s="183"/>
      <c r="F106" s="184"/>
      <c r="G106" s="172"/>
      <c r="H106" s="173"/>
      <c r="I106" s="53"/>
      <c r="J106" s="376"/>
      <c r="K106" s="185"/>
      <c r="M106" s="186"/>
    </row>
    <row r="107" spans="1:13" x14ac:dyDescent="0.35">
      <c r="A107" s="88" t="s">
        <v>62</v>
      </c>
      <c r="B107" s="182">
        <v>63492</v>
      </c>
      <c r="C107" s="183">
        <v>53139</v>
      </c>
      <c r="D107" s="183">
        <v>49315</v>
      </c>
      <c r="E107" s="183">
        <v>68564</v>
      </c>
      <c r="F107" s="184">
        <v>47500</v>
      </c>
      <c r="G107" s="172">
        <v>22863</v>
      </c>
      <c r="H107" s="173">
        <v>22863</v>
      </c>
      <c r="I107" s="53"/>
      <c r="J107" s="376">
        <v>68564</v>
      </c>
      <c r="K107" s="185">
        <v>14368</v>
      </c>
      <c r="M107" s="186">
        <v>13303</v>
      </c>
    </row>
    <row r="108" spans="1:13" x14ac:dyDescent="0.35">
      <c r="A108" s="88" t="s">
        <v>63</v>
      </c>
      <c r="B108" s="182"/>
      <c r="C108" s="183"/>
      <c r="D108" s="183"/>
      <c r="E108" s="183"/>
      <c r="F108" s="184">
        <v>0</v>
      </c>
      <c r="G108" s="172"/>
      <c r="H108" s="173"/>
      <c r="I108" s="53"/>
      <c r="J108" s="376"/>
      <c r="K108" s="185"/>
      <c r="M108" s="186"/>
    </row>
    <row r="109" spans="1:13" ht="15" thickBot="1" x14ac:dyDescent="0.4">
      <c r="A109" s="88" t="s">
        <v>15</v>
      </c>
      <c r="B109" s="182">
        <v>29497</v>
      </c>
      <c r="C109" s="183">
        <v>30527</v>
      </c>
      <c r="D109" s="183">
        <v>34603</v>
      </c>
      <c r="E109" s="183">
        <v>39396</v>
      </c>
      <c r="F109" s="184">
        <v>28340</v>
      </c>
      <c r="G109" s="172">
        <v>19025</v>
      </c>
      <c r="H109" s="173">
        <v>19025</v>
      </c>
      <c r="I109" s="53"/>
      <c r="J109" s="376">
        <v>39344</v>
      </c>
      <c r="K109" s="185">
        <v>20342</v>
      </c>
      <c r="M109" s="186">
        <v>20342</v>
      </c>
    </row>
    <row r="110" spans="1:13" ht="15" thickBot="1" x14ac:dyDescent="0.4">
      <c r="A110" s="75" t="s">
        <v>64</v>
      </c>
      <c r="B110" s="153">
        <f t="shared" ref="B110:D110" si="89">SUM(B107-B109)</f>
        <v>33995</v>
      </c>
      <c r="C110" s="187">
        <f t="shared" si="89"/>
        <v>22612</v>
      </c>
      <c r="D110" s="187">
        <f t="shared" si="89"/>
        <v>14712</v>
      </c>
      <c r="E110" s="187">
        <f t="shared" ref="E110:K110" si="90">SUM(E107-E108-E109)</f>
        <v>29168</v>
      </c>
      <c r="F110" s="188">
        <f t="shared" si="90"/>
        <v>19160</v>
      </c>
      <c r="G110" s="225">
        <f t="shared" ref="G110" si="91">SUM(G107-G108-G109)</f>
        <v>3838</v>
      </c>
      <c r="H110" s="226">
        <f t="shared" si="90"/>
        <v>3838</v>
      </c>
      <c r="I110" s="100"/>
      <c r="J110" s="375">
        <f>SUM(J107-J109)</f>
        <v>29220</v>
      </c>
      <c r="K110" s="385">
        <f t="shared" si="90"/>
        <v>-5974</v>
      </c>
      <c r="M110" s="227">
        <f t="shared" ref="M110" si="92">SUM(M107-M108-M109)</f>
        <v>-7039</v>
      </c>
    </row>
    <row r="111" spans="1:13" x14ac:dyDescent="0.35">
      <c r="A111" s="81"/>
      <c r="B111" s="182"/>
      <c r="C111" s="183"/>
      <c r="D111" s="183"/>
      <c r="E111" s="183"/>
      <c r="F111" s="229"/>
      <c r="G111" s="230"/>
      <c r="H111" s="231"/>
      <c r="I111" s="53"/>
      <c r="J111" s="376"/>
      <c r="K111" s="185"/>
      <c r="M111" s="232"/>
    </row>
    <row r="112" spans="1:13" x14ac:dyDescent="0.35">
      <c r="A112" s="58" t="s">
        <v>65</v>
      </c>
      <c r="B112" s="182"/>
      <c r="C112" s="183"/>
      <c r="D112" s="183"/>
      <c r="E112" s="183"/>
      <c r="F112" s="229"/>
      <c r="G112" s="105"/>
      <c r="H112" s="106"/>
      <c r="I112" s="53"/>
      <c r="J112" s="376"/>
      <c r="K112" s="185"/>
      <c r="M112" s="107"/>
    </row>
    <row r="113" spans="1:13" x14ac:dyDescent="0.35">
      <c r="A113" s="88" t="s">
        <v>66</v>
      </c>
      <c r="B113" s="182"/>
      <c r="C113" s="183">
        <v>0</v>
      </c>
      <c r="D113" s="183">
        <v>30683</v>
      </c>
      <c r="E113" s="183">
        <v>31809</v>
      </c>
      <c r="F113" s="229">
        <v>38705</v>
      </c>
      <c r="G113" s="105"/>
      <c r="H113" s="106"/>
      <c r="I113" s="53"/>
      <c r="J113" s="376">
        <v>31809</v>
      </c>
      <c r="K113" s="185">
        <v>14398</v>
      </c>
      <c r="M113" s="107">
        <v>14398</v>
      </c>
    </row>
    <row r="114" spans="1:13" x14ac:dyDescent="0.35">
      <c r="A114" s="88" t="s">
        <v>63</v>
      </c>
      <c r="B114" s="182"/>
      <c r="C114" s="183"/>
      <c r="D114" s="183">
        <v>0</v>
      </c>
      <c r="E114" s="183"/>
      <c r="F114" s="229"/>
      <c r="G114" s="105"/>
      <c r="H114" s="106"/>
      <c r="I114" s="53"/>
      <c r="J114" s="376">
        <v>0</v>
      </c>
      <c r="K114" s="185"/>
      <c r="M114" s="107"/>
    </row>
    <row r="115" spans="1:13" ht="15" thickBot="1" x14ac:dyDescent="0.4">
      <c r="A115" s="88" t="s">
        <v>15</v>
      </c>
      <c r="B115" s="182"/>
      <c r="C115" s="183">
        <v>0</v>
      </c>
      <c r="D115" s="183">
        <v>13030</v>
      </c>
      <c r="E115" s="183">
        <v>27736</v>
      </c>
      <c r="F115" s="229">
        <v>22143</v>
      </c>
      <c r="G115" s="159"/>
      <c r="H115" s="160"/>
      <c r="I115" s="53"/>
      <c r="J115" s="376">
        <v>27736</v>
      </c>
      <c r="K115" s="185">
        <v>9240</v>
      </c>
      <c r="M115" s="233">
        <v>9240</v>
      </c>
    </row>
    <row r="116" spans="1:13" ht="15" thickBot="1" x14ac:dyDescent="0.4">
      <c r="A116" s="75" t="s">
        <v>67</v>
      </c>
      <c r="B116" s="153">
        <f t="shared" ref="B116:D116" si="93">SUM(B113-B115)</f>
        <v>0</v>
      </c>
      <c r="C116" s="199">
        <f t="shared" si="93"/>
        <v>0</v>
      </c>
      <c r="D116" s="199">
        <f t="shared" si="93"/>
        <v>17653</v>
      </c>
      <c r="E116" s="187">
        <f>SUM(E113-E114-E115)</f>
        <v>4073</v>
      </c>
      <c r="F116" s="188">
        <f>SUM(F113-F114-F115)</f>
        <v>16562</v>
      </c>
      <c r="G116" s="234">
        <f>SUM(G113-G115)</f>
        <v>0</v>
      </c>
      <c r="H116" s="235">
        <f>SUM(H113-H115)</f>
        <v>0</v>
      </c>
      <c r="I116" s="100"/>
      <c r="J116" s="375">
        <f>SUM(J113-J115)</f>
        <v>4073</v>
      </c>
      <c r="K116" s="385">
        <f>SUM(K113-K114-K115)</f>
        <v>5158</v>
      </c>
      <c r="M116" s="236">
        <f>SUM(M113-M115)</f>
        <v>5158</v>
      </c>
    </row>
    <row r="117" spans="1:13" x14ac:dyDescent="0.35">
      <c r="A117" s="75"/>
      <c r="B117" s="237"/>
      <c r="C117" s="238" t="s">
        <v>68</v>
      </c>
      <c r="D117" s="238" t="s">
        <v>68</v>
      </c>
      <c r="E117" s="239"/>
      <c r="F117" s="240"/>
      <c r="G117" s="241"/>
      <c r="H117" s="242"/>
      <c r="I117" s="243"/>
      <c r="J117" s="396"/>
      <c r="K117" s="244"/>
      <c r="M117" s="245"/>
    </row>
    <row r="118" spans="1:13" x14ac:dyDescent="0.35">
      <c r="A118" s="81"/>
      <c r="B118" s="228"/>
      <c r="C118" s="246"/>
      <c r="D118" s="246"/>
      <c r="E118" s="192"/>
      <c r="F118" s="193"/>
      <c r="G118" s="194"/>
      <c r="H118" s="195"/>
      <c r="I118" s="196"/>
      <c r="J118" s="376"/>
      <c r="K118" s="197"/>
      <c r="M118" s="198"/>
    </row>
    <row r="119" spans="1:13" x14ac:dyDescent="0.35">
      <c r="A119" s="58" t="s">
        <v>69</v>
      </c>
      <c r="B119" s="228"/>
      <c r="C119" s="247"/>
      <c r="D119" s="247"/>
      <c r="E119" s="192"/>
      <c r="F119" s="193"/>
      <c r="G119" s="194"/>
      <c r="H119" s="195"/>
      <c r="I119" s="196"/>
      <c r="J119" s="397"/>
      <c r="K119" s="197"/>
      <c r="M119" s="198"/>
    </row>
    <row r="120" spans="1:13" x14ac:dyDescent="0.35">
      <c r="A120" s="88" t="s">
        <v>66</v>
      </c>
      <c r="B120" s="228">
        <v>84479</v>
      </c>
      <c r="C120" s="246">
        <v>82261</v>
      </c>
      <c r="D120" s="246">
        <v>33012</v>
      </c>
      <c r="E120" s="183">
        <v>57547</v>
      </c>
      <c r="F120" s="184">
        <v>47205</v>
      </c>
      <c r="G120" s="172">
        <v>8000</v>
      </c>
      <c r="H120" s="173">
        <v>0</v>
      </c>
      <c r="I120" s="53"/>
      <c r="J120" s="376">
        <v>57547</v>
      </c>
      <c r="K120" s="185">
        <v>12666</v>
      </c>
      <c r="M120" s="186">
        <v>12666</v>
      </c>
    </row>
    <row r="121" spans="1:13" x14ac:dyDescent="0.35">
      <c r="A121" s="88" t="s">
        <v>63</v>
      </c>
      <c r="B121" s="228"/>
      <c r="C121" s="246"/>
      <c r="D121" s="246"/>
      <c r="E121" s="183">
        <v>0</v>
      </c>
      <c r="F121" s="184"/>
      <c r="G121" s="172"/>
      <c r="H121" s="173"/>
      <c r="I121" s="53"/>
      <c r="J121" s="376">
        <v>0</v>
      </c>
      <c r="K121" s="185"/>
      <c r="M121" s="186"/>
    </row>
    <row r="122" spans="1:13" ht="15" thickBot="1" x14ac:dyDescent="0.4">
      <c r="A122" s="88" t="s">
        <v>15</v>
      </c>
      <c r="B122" s="228">
        <v>42490</v>
      </c>
      <c r="C122" s="246">
        <v>47415</v>
      </c>
      <c r="D122" s="246">
        <v>27444</v>
      </c>
      <c r="E122" s="183">
        <v>28123</v>
      </c>
      <c r="F122" s="184">
        <v>27940</v>
      </c>
      <c r="G122" s="172">
        <v>5200</v>
      </c>
      <c r="H122" s="173">
        <v>0</v>
      </c>
      <c r="I122" s="53"/>
      <c r="J122" s="376">
        <v>29670</v>
      </c>
      <c r="K122" s="185">
        <v>9789</v>
      </c>
      <c r="M122" s="186">
        <v>9789</v>
      </c>
    </row>
    <row r="123" spans="1:13" ht="15" thickBot="1" x14ac:dyDescent="0.4">
      <c r="A123" s="75" t="s">
        <v>70</v>
      </c>
      <c r="B123" s="248">
        <f t="shared" ref="B123:D123" si="94">B120-B122</f>
        <v>41989</v>
      </c>
      <c r="C123" s="187">
        <f t="shared" si="94"/>
        <v>34846</v>
      </c>
      <c r="D123" s="187">
        <f t="shared" si="94"/>
        <v>5568</v>
      </c>
      <c r="E123" s="187">
        <f>SUM(E120-E122)</f>
        <v>29424</v>
      </c>
      <c r="F123" s="188">
        <f>SUM(F120-F121-F122)</f>
        <v>19265</v>
      </c>
      <c r="G123" s="189">
        <f>SUM(G120-G121-G122)</f>
        <v>2800</v>
      </c>
      <c r="H123" s="190">
        <f>SUM(H120-H121-H122)</f>
        <v>0</v>
      </c>
      <c r="I123" s="100"/>
      <c r="J123" s="375">
        <f>J120-J122</f>
        <v>27877</v>
      </c>
      <c r="K123" s="385">
        <f>SUM(K120-K122)</f>
        <v>2877</v>
      </c>
      <c r="M123" s="191">
        <f>SUM(M120-M121-M122)</f>
        <v>2877</v>
      </c>
    </row>
    <row r="124" spans="1:13" x14ac:dyDescent="0.35">
      <c r="A124" s="75"/>
      <c r="B124" s="200"/>
      <c r="C124" s="201"/>
      <c r="D124" s="201"/>
      <c r="E124" s="239"/>
      <c r="F124" s="240"/>
      <c r="G124" s="241"/>
      <c r="H124" s="242"/>
      <c r="I124" s="243"/>
      <c r="J124" s="384"/>
      <c r="K124" s="244"/>
      <c r="M124" s="245"/>
    </row>
    <row r="125" spans="1:13" x14ac:dyDescent="0.35">
      <c r="A125" s="81"/>
      <c r="B125" s="182"/>
      <c r="C125" s="183"/>
      <c r="D125" s="183"/>
      <c r="E125" s="192"/>
      <c r="F125" s="193"/>
      <c r="G125" s="194"/>
      <c r="H125" s="195"/>
      <c r="I125" s="196"/>
      <c r="J125" s="376"/>
      <c r="K125" s="197"/>
      <c r="M125" s="198"/>
    </row>
    <row r="126" spans="1:13" x14ac:dyDescent="0.35">
      <c r="A126" s="58" t="s">
        <v>71</v>
      </c>
      <c r="B126" s="182"/>
      <c r="C126" s="183"/>
      <c r="D126" s="183"/>
      <c r="E126" s="192"/>
      <c r="F126" s="193"/>
      <c r="G126" s="194"/>
      <c r="H126" s="195"/>
      <c r="I126" s="196"/>
      <c r="J126" s="376"/>
      <c r="K126" s="197"/>
      <c r="M126" s="198"/>
    </row>
    <row r="127" spans="1:13" x14ac:dyDescent="0.35">
      <c r="A127" s="88" t="s">
        <v>66</v>
      </c>
      <c r="B127" s="182"/>
      <c r="C127" s="183">
        <v>0</v>
      </c>
      <c r="D127" s="183">
        <v>48034</v>
      </c>
      <c r="E127" s="183">
        <v>43715</v>
      </c>
      <c r="F127" s="184">
        <v>35022</v>
      </c>
      <c r="G127" s="249"/>
      <c r="H127" s="250">
        <v>0</v>
      </c>
      <c r="I127" s="251"/>
      <c r="J127" s="376">
        <v>28712</v>
      </c>
      <c r="K127" s="185">
        <v>12137</v>
      </c>
      <c r="M127" s="252">
        <v>14212</v>
      </c>
    </row>
    <row r="128" spans="1:13" x14ac:dyDescent="0.35">
      <c r="A128" s="88" t="s">
        <v>63</v>
      </c>
      <c r="B128" s="182"/>
      <c r="C128" s="183"/>
      <c r="D128" s="183"/>
      <c r="E128" s="183"/>
      <c r="F128" s="184">
        <v>0</v>
      </c>
      <c r="G128" s="249"/>
      <c r="H128" s="250">
        <v>0</v>
      </c>
      <c r="I128" s="251"/>
      <c r="J128" s="376"/>
      <c r="K128" s="185"/>
      <c r="M128" s="252"/>
    </row>
    <row r="129" spans="1:13" ht="15" thickBot="1" x14ac:dyDescent="0.4">
      <c r="A129" s="88" t="s">
        <v>15</v>
      </c>
      <c r="B129" s="182"/>
      <c r="C129" s="183">
        <v>0</v>
      </c>
      <c r="D129" s="183">
        <v>23323</v>
      </c>
      <c r="E129" s="183">
        <v>29669</v>
      </c>
      <c r="F129" s="184">
        <v>18042</v>
      </c>
      <c r="G129" s="249"/>
      <c r="H129" s="250"/>
      <c r="I129" s="251"/>
      <c r="J129" s="376">
        <v>12892</v>
      </c>
      <c r="K129" s="185">
        <v>1799</v>
      </c>
      <c r="M129" s="252">
        <v>9238</v>
      </c>
    </row>
    <row r="130" spans="1:13" ht="15" thickBot="1" x14ac:dyDescent="0.4">
      <c r="A130" s="75" t="s">
        <v>72</v>
      </c>
      <c r="B130" s="153">
        <f t="shared" ref="B130:D130" si="95">B127-B129</f>
        <v>0</v>
      </c>
      <c r="C130" s="187">
        <f t="shared" si="95"/>
        <v>0</v>
      </c>
      <c r="D130" s="187">
        <f t="shared" si="95"/>
        <v>24711</v>
      </c>
      <c r="E130" s="187">
        <f>E127-E129</f>
        <v>14046</v>
      </c>
      <c r="F130" s="188">
        <f>SUM(F127-F128-F129)</f>
        <v>16980</v>
      </c>
      <c r="G130" s="253">
        <f>SUM(G127-G129)</f>
        <v>0</v>
      </c>
      <c r="H130" s="254">
        <f>SUM(H127-H129)</f>
        <v>0</v>
      </c>
      <c r="I130" s="255"/>
      <c r="J130" s="375">
        <f>J127-J129</f>
        <v>15820</v>
      </c>
      <c r="K130" s="385">
        <f>SUM(K127-K129)</f>
        <v>10338</v>
      </c>
      <c r="M130" s="256">
        <f>SUM(M127-M129)</f>
        <v>4974</v>
      </c>
    </row>
    <row r="131" spans="1:13" x14ac:dyDescent="0.35">
      <c r="A131" s="75"/>
      <c r="B131" s="200"/>
      <c r="C131" s="201"/>
      <c r="D131" s="201"/>
      <c r="E131" s="209"/>
      <c r="F131" s="210"/>
      <c r="G131" s="257"/>
      <c r="H131" s="258"/>
      <c r="I131" s="259"/>
      <c r="J131" s="384"/>
      <c r="K131" s="214"/>
      <c r="M131" s="260"/>
    </row>
    <row r="132" spans="1:13" x14ac:dyDescent="0.35">
      <c r="A132" s="75" t="s">
        <v>73</v>
      </c>
      <c r="B132" s="182"/>
      <c r="C132" s="183"/>
      <c r="D132" s="183"/>
      <c r="E132" s="192"/>
      <c r="F132" s="193"/>
      <c r="G132" s="257"/>
      <c r="H132" s="258"/>
      <c r="I132" s="259"/>
      <c r="J132" s="376"/>
      <c r="K132" s="197"/>
      <c r="M132" s="260"/>
    </row>
    <row r="133" spans="1:13" x14ac:dyDescent="0.35">
      <c r="A133" s="88" t="s">
        <v>56</v>
      </c>
      <c r="B133" s="216">
        <f>B107+B120</f>
        <v>147971</v>
      </c>
      <c r="C133" s="217">
        <f>C107+C120</f>
        <v>135400</v>
      </c>
      <c r="D133" s="217">
        <f>D107+D113+D120+D127</f>
        <v>161044</v>
      </c>
      <c r="E133" s="217">
        <f t="shared" ref="E133:K133" si="96">SUM(E107,E113,E120,E127)</f>
        <v>201635</v>
      </c>
      <c r="F133" s="218">
        <f t="shared" si="96"/>
        <v>168432</v>
      </c>
      <c r="G133" s="261">
        <f t="shared" ref="G133" si="97">SUM(G107,G113,G120,G127)</f>
        <v>30863</v>
      </c>
      <c r="H133" s="106">
        <f t="shared" si="96"/>
        <v>22863</v>
      </c>
      <c r="I133" s="53"/>
      <c r="J133" s="374">
        <f>J107+J113+J120+J127</f>
        <v>186632</v>
      </c>
      <c r="K133" s="388">
        <f t="shared" si="96"/>
        <v>53569</v>
      </c>
      <c r="M133" s="262">
        <f t="shared" ref="M133" si="98">SUM(M107,M113,M120,M127)</f>
        <v>54579</v>
      </c>
    </row>
    <row r="134" spans="1:13" x14ac:dyDescent="0.35">
      <c r="A134" s="88" t="s">
        <v>74</v>
      </c>
      <c r="B134" s="216"/>
      <c r="C134" s="217"/>
      <c r="D134" s="217"/>
      <c r="E134" s="217"/>
      <c r="F134" s="218">
        <f>SUM(F108,F114,F121,F128)</f>
        <v>0</v>
      </c>
      <c r="G134" s="249"/>
      <c r="H134" s="250"/>
      <c r="I134" s="251"/>
      <c r="J134" s="374"/>
      <c r="K134" s="388"/>
      <c r="M134" s="252"/>
    </row>
    <row r="135" spans="1:13" ht="15" thickBot="1" x14ac:dyDescent="0.4">
      <c r="A135" s="88" t="s">
        <v>57</v>
      </c>
      <c r="B135" s="216">
        <f>+B109+B122</f>
        <v>71987</v>
      </c>
      <c r="C135" s="217">
        <f>+C109+C122</f>
        <v>77942</v>
      </c>
      <c r="D135" s="217">
        <f>SUM(D109+D115+D122+D129)</f>
        <v>98400</v>
      </c>
      <c r="E135" s="217">
        <f t="shared" ref="E135" si="99">SUM(E109,E115,E122,E129)</f>
        <v>124924</v>
      </c>
      <c r="F135" s="218">
        <f>SUM(F109,F115,F122,F129)</f>
        <v>96465</v>
      </c>
      <c r="G135" s="261">
        <f>SUM(G109, G115, G122, G129)</f>
        <v>24225</v>
      </c>
      <c r="H135" s="106">
        <f>SUM(H109, H115, H122, H129)</f>
        <v>19025</v>
      </c>
      <c r="I135" s="53"/>
      <c r="J135" s="374">
        <f>SUM(J109+J115+J122+J129)</f>
        <v>109642</v>
      </c>
      <c r="K135" s="388">
        <f>SUM(K109, K115, K122, K129)</f>
        <v>41170</v>
      </c>
      <c r="M135" s="262">
        <f>SUM(M109, M115, M122, M129)</f>
        <v>48609</v>
      </c>
    </row>
    <row r="136" spans="1:13" ht="15" thickBot="1" x14ac:dyDescent="0.4">
      <c r="A136" s="75" t="s">
        <v>58</v>
      </c>
      <c r="B136" s="153">
        <f t="shared" ref="B136:C136" si="100">SUM(B133-B135)</f>
        <v>75984</v>
      </c>
      <c r="C136" s="187">
        <f t="shared" si="100"/>
        <v>57458</v>
      </c>
      <c r="D136" s="187">
        <f t="shared" ref="D136" si="101">SUM(D133-D135)</f>
        <v>62644</v>
      </c>
      <c r="E136" s="187">
        <f>SUM(E133-E135)</f>
        <v>76711</v>
      </c>
      <c r="F136" s="188">
        <f>SUM(F133-F134-F135)</f>
        <v>71967</v>
      </c>
      <c r="G136" s="263">
        <f>SUM(G133-G135)</f>
        <v>6638</v>
      </c>
      <c r="H136" s="264">
        <f>SUM(H133-H135)</f>
        <v>3838</v>
      </c>
      <c r="I136" s="113"/>
      <c r="J136" s="375">
        <f>SUM(J133-J135)</f>
        <v>76990</v>
      </c>
      <c r="K136" s="385">
        <f>SUM(K133-K135)</f>
        <v>12399</v>
      </c>
      <c r="M136" s="265">
        <f>SUM(M133-M135)</f>
        <v>5970</v>
      </c>
    </row>
    <row r="137" spans="1:13" ht="15" thickBot="1" x14ac:dyDescent="0.4">
      <c r="A137" s="95"/>
      <c r="B137" s="266"/>
      <c r="C137" s="267"/>
      <c r="D137" s="267"/>
      <c r="E137" s="267"/>
      <c r="F137" s="267"/>
      <c r="G137" s="268"/>
      <c r="H137" s="269"/>
      <c r="I137" s="93"/>
      <c r="J137" s="398"/>
      <c r="K137" s="267"/>
      <c r="M137" s="270"/>
    </row>
    <row r="138" spans="1:13" x14ac:dyDescent="0.35">
      <c r="A138" s="81"/>
      <c r="B138" s="59"/>
      <c r="C138" s="60"/>
      <c r="D138" s="60"/>
      <c r="E138" s="61"/>
      <c r="F138" s="175" t="s">
        <v>215</v>
      </c>
      <c r="G138" s="62" t="s">
        <v>237</v>
      </c>
      <c r="H138" s="63" t="s">
        <v>238</v>
      </c>
      <c r="I138" s="64"/>
      <c r="J138" s="395" t="s">
        <v>217</v>
      </c>
      <c r="K138" s="350" t="s">
        <v>283</v>
      </c>
      <c r="M138" s="65" t="s">
        <v>270</v>
      </c>
    </row>
    <row r="139" spans="1:13" x14ac:dyDescent="0.35">
      <c r="A139" s="81"/>
      <c r="B139" s="66" t="s">
        <v>2</v>
      </c>
      <c r="C139" s="67" t="s">
        <v>1</v>
      </c>
      <c r="D139" s="67" t="s">
        <v>1</v>
      </c>
      <c r="E139" s="66" t="s">
        <v>1</v>
      </c>
      <c r="F139" s="176" t="s">
        <v>3</v>
      </c>
      <c r="G139" s="68" t="s">
        <v>234</v>
      </c>
      <c r="H139" s="69" t="s">
        <v>5</v>
      </c>
      <c r="I139" s="64"/>
      <c r="J139" s="370" t="s">
        <v>216</v>
      </c>
      <c r="K139" s="351" t="s">
        <v>4</v>
      </c>
      <c r="M139" s="70" t="s">
        <v>5</v>
      </c>
    </row>
    <row r="140" spans="1:13" ht="15" thickBot="1" x14ac:dyDescent="0.4">
      <c r="A140" s="81"/>
      <c r="B140" s="71" t="s">
        <v>6</v>
      </c>
      <c r="C140" s="71" t="s">
        <v>7</v>
      </c>
      <c r="D140" s="71" t="s">
        <v>8</v>
      </c>
      <c r="E140" s="71" t="s">
        <v>9</v>
      </c>
      <c r="F140" s="177" t="s">
        <v>229</v>
      </c>
      <c r="G140" s="72" t="s">
        <v>239</v>
      </c>
      <c r="H140" s="73" t="s">
        <v>235</v>
      </c>
      <c r="I140" s="64"/>
      <c r="J140" s="371" t="s">
        <v>9</v>
      </c>
      <c r="K140" s="352" t="s">
        <v>230</v>
      </c>
      <c r="M140" s="74" t="s">
        <v>285</v>
      </c>
    </row>
    <row r="141" spans="1:13" x14ac:dyDescent="0.35">
      <c r="A141" s="75" t="s">
        <v>75</v>
      </c>
      <c r="B141" s="182"/>
      <c r="C141" s="183"/>
      <c r="D141" s="183"/>
      <c r="E141" s="183"/>
      <c r="F141" s="184"/>
      <c r="G141" s="78"/>
      <c r="H141" s="79" t="s">
        <v>236</v>
      </c>
      <c r="I141" s="64"/>
      <c r="J141" s="376"/>
      <c r="K141" s="185"/>
      <c r="M141" s="80"/>
    </row>
    <row r="142" spans="1:13" x14ac:dyDescent="0.35">
      <c r="A142" s="81" t="s">
        <v>76</v>
      </c>
      <c r="B142" s="182">
        <v>19108</v>
      </c>
      <c r="C142" s="183">
        <v>20409</v>
      </c>
      <c r="D142" s="183">
        <v>22349</v>
      </c>
      <c r="E142" s="183">
        <v>28831</v>
      </c>
      <c r="F142" s="184">
        <v>25600</v>
      </c>
      <c r="G142" s="172">
        <v>0</v>
      </c>
      <c r="H142" s="173"/>
      <c r="I142" s="53"/>
      <c r="J142" s="376">
        <v>28831</v>
      </c>
      <c r="K142" s="185">
        <v>4840</v>
      </c>
      <c r="M142" s="186">
        <v>4840</v>
      </c>
    </row>
    <row r="143" spans="1:13" ht="15" thickBot="1" x14ac:dyDescent="0.4">
      <c r="A143" s="81" t="s">
        <v>77</v>
      </c>
      <c r="B143" s="182">
        <v>18285</v>
      </c>
      <c r="C143" s="183">
        <v>20278</v>
      </c>
      <c r="D143" s="183">
        <v>16711</v>
      </c>
      <c r="E143" s="183">
        <v>15336</v>
      </c>
      <c r="F143" s="184">
        <v>20300</v>
      </c>
      <c r="G143" s="172">
        <v>0</v>
      </c>
      <c r="H143" s="173"/>
      <c r="I143" s="53"/>
      <c r="J143" s="376">
        <v>15336</v>
      </c>
      <c r="K143" s="185">
        <v>32</v>
      </c>
      <c r="M143" s="186">
        <v>32</v>
      </c>
    </row>
    <row r="144" spans="1:13" ht="15" thickBot="1" x14ac:dyDescent="0.4">
      <c r="A144" s="58" t="s">
        <v>78</v>
      </c>
      <c r="B144" s="153">
        <f t="shared" ref="B144:D144" si="102">B142-B143</f>
        <v>823</v>
      </c>
      <c r="C144" s="187">
        <f t="shared" si="102"/>
        <v>131</v>
      </c>
      <c r="D144" s="187">
        <f t="shared" si="102"/>
        <v>5638</v>
      </c>
      <c r="E144" s="187">
        <f>E142-E143</f>
        <v>13495</v>
      </c>
      <c r="F144" s="188">
        <f>F142-F143</f>
        <v>5300</v>
      </c>
      <c r="G144" s="189">
        <v>0</v>
      </c>
      <c r="H144" s="190"/>
      <c r="I144" s="100"/>
      <c r="J144" s="375">
        <f>J142-J143</f>
        <v>13495</v>
      </c>
      <c r="K144" s="385">
        <f>K142-K143</f>
        <v>4808</v>
      </c>
      <c r="M144" s="191">
        <f>SUM(M142-M143)</f>
        <v>4808</v>
      </c>
    </row>
    <row r="145" spans="1:13" x14ac:dyDescent="0.35">
      <c r="A145" s="81"/>
      <c r="B145" s="182"/>
      <c r="C145" s="183"/>
      <c r="D145" s="183"/>
      <c r="E145" s="183"/>
      <c r="F145" s="184"/>
      <c r="G145" s="172"/>
      <c r="H145" s="173"/>
      <c r="I145" s="53"/>
      <c r="J145" s="376"/>
      <c r="K145" s="185"/>
      <c r="M145" s="186"/>
    </row>
    <row r="146" spans="1:13" x14ac:dyDescent="0.35">
      <c r="A146" s="88" t="s">
        <v>271</v>
      </c>
      <c r="B146" s="182">
        <v>375034</v>
      </c>
      <c r="C146" s="183">
        <v>396290</v>
      </c>
      <c r="D146" s="183">
        <v>414268</v>
      </c>
      <c r="E146" s="183">
        <v>447644</v>
      </c>
      <c r="F146" s="184">
        <v>431000</v>
      </c>
      <c r="G146" s="172">
        <v>41060</v>
      </c>
      <c r="H146" s="173">
        <v>41060</v>
      </c>
      <c r="I146" s="53"/>
      <c r="J146" s="376">
        <v>447644</v>
      </c>
      <c r="K146" s="185">
        <v>42679</v>
      </c>
      <c r="M146" s="186">
        <v>43305</v>
      </c>
    </row>
    <row r="147" spans="1:13" ht="15" thickBot="1" x14ac:dyDescent="0.4">
      <c r="A147" s="88" t="s">
        <v>79</v>
      </c>
      <c r="B147" s="182">
        <v>213035</v>
      </c>
      <c r="C147" s="183">
        <v>246669</v>
      </c>
      <c r="D147" s="183">
        <v>259695</v>
      </c>
      <c r="E147" s="183">
        <v>254453</v>
      </c>
      <c r="F147" s="184">
        <v>248000</v>
      </c>
      <c r="G147" s="172">
        <v>16000</v>
      </c>
      <c r="H147" s="173">
        <v>16000</v>
      </c>
      <c r="I147" s="53"/>
      <c r="J147" s="376">
        <v>250972</v>
      </c>
      <c r="K147" s="185">
        <v>10708</v>
      </c>
      <c r="M147" s="186">
        <v>10708</v>
      </c>
    </row>
    <row r="148" spans="1:13" ht="15" thickBot="1" x14ac:dyDescent="0.4">
      <c r="A148" s="75" t="s">
        <v>80</v>
      </c>
      <c r="B148" s="153">
        <f t="shared" ref="B148:D148" si="103">B146-B147</f>
        <v>161999</v>
      </c>
      <c r="C148" s="187">
        <f t="shared" si="103"/>
        <v>149621</v>
      </c>
      <c r="D148" s="187">
        <f t="shared" si="103"/>
        <v>154573</v>
      </c>
      <c r="E148" s="187">
        <f t="shared" ref="E148:K148" si="104">E146-E147</f>
        <v>193191</v>
      </c>
      <c r="F148" s="188">
        <f t="shared" si="104"/>
        <v>183000</v>
      </c>
      <c r="G148" s="189">
        <f t="shared" ref="G148" si="105">G146-G147</f>
        <v>25060</v>
      </c>
      <c r="H148" s="190">
        <f t="shared" si="104"/>
        <v>25060</v>
      </c>
      <c r="I148" s="100"/>
      <c r="J148" s="375">
        <f>J146-J147</f>
        <v>196672</v>
      </c>
      <c r="K148" s="385">
        <f t="shared" si="104"/>
        <v>31971</v>
      </c>
      <c r="M148" s="191">
        <f t="shared" ref="M148" si="106">M146-M147</f>
        <v>32597</v>
      </c>
    </row>
    <row r="149" spans="1:13" x14ac:dyDescent="0.35">
      <c r="A149" s="75"/>
      <c r="B149" s="200"/>
      <c r="C149" s="201"/>
      <c r="D149" s="201"/>
      <c r="E149" s="201"/>
      <c r="F149" s="202"/>
      <c r="G149" s="203"/>
      <c r="H149" s="204"/>
      <c r="I149" s="100"/>
      <c r="J149" s="384"/>
      <c r="K149" s="205"/>
      <c r="M149" s="206"/>
    </row>
    <row r="150" spans="1:13" x14ac:dyDescent="0.35">
      <c r="A150" s="88" t="s">
        <v>81</v>
      </c>
      <c r="B150" s="182">
        <v>17407</v>
      </c>
      <c r="C150" s="183">
        <v>23653</v>
      </c>
      <c r="D150" s="183">
        <v>20060</v>
      </c>
      <c r="E150" s="183">
        <v>25327</v>
      </c>
      <c r="F150" s="184">
        <v>21750</v>
      </c>
      <c r="G150" s="172">
        <v>37175</v>
      </c>
      <c r="H150" s="173">
        <v>37175</v>
      </c>
      <c r="I150" s="53"/>
      <c r="J150" s="376">
        <v>25327</v>
      </c>
      <c r="K150" s="185">
        <v>38325</v>
      </c>
      <c r="M150" s="186">
        <v>38325</v>
      </c>
    </row>
    <row r="151" spans="1:13" ht="15" thickBot="1" x14ac:dyDescent="0.4">
      <c r="A151" s="88" t="s">
        <v>82</v>
      </c>
      <c r="B151" s="182">
        <v>6453</v>
      </c>
      <c r="C151" s="183">
        <v>9768</v>
      </c>
      <c r="D151" s="183">
        <v>10141</v>
      </c>
      <c r="E151" s="183">
        <v>14092</v>
      </c>
      <c r="F151" s="184">
        <v>13000</v>
      </c>
      <c r="G151" s="172">
        <v>22000</v>
      </c>
      <c r="H151" s="173">
        <v>22000</v>
      </c>
      <c r="I151" s="53"/>
      <c r="J151" s="376">
        <v>13774</v>
      </c>
      <c r="K151" s="185">
        <v>17887</v>
      </c>
      <c r="M151" s="186">
        <v>17887</v>
      </c>
    </row>
    <row r="152" spans="1:13" ht="15" thickBot="1" x14ac:dyDescent="0.4">
      <c r="A152" s="75" t="s">
        <v>83</v>
      </c>
      <c r="B152" s="153">
        <f t="shared" ref="B152:D152" si="107">B150-B151</f>
        <v>10954</v>
      </c>
      <c r="C152" s="187">
        <f t="shared" si="107"/>
        <v>13885</v>
      </c>
      <c r="D152" s="187">
        <f t="shared" si="107"/>
        <v>9919</v>
      </c>
      <c r="E152" s="187">
        <f>E150-E151</f>
        <v>11235</v>
      </c>
      <c r="F152" s="188">
        <f>F150-F151</f>
        <v>8750</v>
      </c>
      <c r="G152" s="189">
        <f>SUM(G150-G151)</f>
        <v>15175</v>
      </c>
      <c r="H152" s="190">
        <f>SUM(H150-H151)</f>
        <v>15175</v>
      </c>
      <c r="I152" s="100"/>
      <c r="J152" s="375">
        <f>J150-J151</f>
        <v>11553</v>
      </c>
      <c r="K152" s="385">
        <f>K150-K151</f>
        <v>20438</v>
      </c>
      <c r="M152" s="191">
        <f>M150-M151</f>
        <v>20438</v>
      </c>
    </row>
    <row r="153" spans="1:13" x14ac:dyDescent="0.35">
      <c r="A153" s="75"/>
      <c r="B153" s="200"/>
      <c r="C153" s="201"/>
      <c r="D153" s="201"/>
      <c r="E153" s="201"/>
      <c r="F153" s="202"/>
      <c r="G153" s="203"/>
      <c r="H153" s="204"/>
      <c r="I153" s="100"/>
      <c r="J153" s="384"/>
      <c r="K153" s="205"/>
      <c r="M153" s="206"/>
    </row>
    <row r="154" spans="1:13" x14ac:dyDescent="0.35">
      <c r="A154" s="88" t="s">
        <v>84</v>
      </c>
      <c r="B154" s="182">
        <v>127480</v>
      </c>
      <c r="C154" s="183">
        <v>98853</v>
      </c>
      <c r="D154" s="183">
        <v>99882</v>
      </c>
      <c r="E154" s="183">
        <v>147535</v>
      </c>
      <c r="F154" s="184">
        <v>134850</v>
      </c>
      <c r="G154" s="172">
        <v>66325</v>
      </c>
      <c r="H154" s="173">
        <v>66325</v>
      </c>
      <c r="I154" s="53"/>
      <c r="J154" s="376">
        <v>147535</v>
      </c>
      <c r="K154" s="185">
        <v>63653</v>
      </c>
      <c r="M154" s="186">
        <v>64171</v>
      </c>
    </row>
    <row r="155" spans="1:13" ht="15" thickBot="1" x14ac:dyDescent="0.4">
      <c r="A155" s="88" t="s">
        <v>85</v>
      </c>
      <c r="B155" s="182">
        <v>60538</v>
      </c>
      <c r="C155" s="183">
        <v>48927</v>
      </c>
      <c r="D155" s="183">
        <v>45995</v>
      </c>
      <c r="E155" s="183">
        <v>66249</v>
      </c>
      <c r="F155" s="184">
        <v>60435</v>
      </c>
      <c r="G155" s="172">
        <v>39000</v>
      </c>
      <c r="H155" s="173">
        <v>39000</v>
      </c>
      <c r="I155" s="53"/>
      <c r="J155" s="376">
        <v>66249</v>
      </c>
      <c r="K155" s="185">
        <v>49737</v>
      </c>
      <c r="M155" s="186">
        <v>49737</v>
      </c>
    </row>
    <row r="156" spans="1:13" ht="15" thickBot="1" x14ac:dyDescent="0.4">
      <c r="A156" s="75" t="s">
        <v>86</v>
      </c>
      <c r="B156" s="153">
        <f t="shared" ref="B156:D156" si="108">B154-B155</f>
        <v>66942</v>
      </c>
      <c r="C156" s="187">
        <f t="shared" si="108"/>
        <v>49926</v>
      </c>
      <c r="D156" s="187">
        <f t="shared" si="108"/>
        <v>53887</v>
      </c>
      <c r="E156" s="187">
        <f t="shared" ref="E156:K156" si="109">E154-E155</f>
        <v>81286</v>
      </c>
      <c r="F156" s="188">
        <f t="shared" si="109"/>
        <v>74415</v>
      </c>
      <c r="G156" s="189">
        <f t="shared" ref="G156" si="110">G154-G155</f>
        <v>27325</v>
      </c>
      <c r="H156" s="190">
        <f t="shared" si="109"/>
        <v>27325</v>
      </c>
      <c r="I156" s="100"/>
      <c r="J156" s="375">
        <f>J154-J155</f>
        <v>81286</v>
      </c>
      <c r="K156" s="385">
        <f t="shared" si="109"/>
        <v>13916</v>
      </c>
      <c r="M156" s="191">
        <f t="shared" ref="M156" si="111">M154-M155</f>
        <v>14434</v>
      </c>
    </row>
    <row r="157" spans="1:13" x14ac:dyDescent="0.35">
      <c r="A157" s="75"/>
      <c r="B157" s="200"/>
      <c r="C157" s="201"/>
      <c r="D157" s="201"/>
      <c r="E157" s="201"/>
      <c r="F157" s="202"/>
      <c r="G157" s="203"/>
      <c r="H157" s="204"/>
      <c r="I157" s="100"/>
      <c r="J157" s="384"/>
      <c r="K157" s="205"/>
      <c r="M157" s="206"/>
    </row>
    <row r="158" spans="1:13" x14ac:dyDescent="0.35">
      <c r="A158" s="88"/>
      <c r="B158" s="182">
        <v>0</v>
      </c>
      <c r="C158" s="183">
        <v>0</v>
      </c>
      <c r="D158" s="183">
        <v>0</v>
      </c>
      <c r="E158" s="183">
        <v>0</v>
      </c>
      <c r="F158" s="184">
        <v>0</v>
      </c>
      <c r="G158" s="172">
        <v>0</v>
      </c>
      <c r="H158" s="173">
        <v>0</v>
      </c>
      <c r="I158" s="53"/>
      <c r="J158" s="376">
        <v>0</v>
      </c>
      <c r="K158" s="185">
        <v>0</v>
      </c>
      <c r="M158" s="186">
        <v>0</v>
      </c>
    </row>
    <row r="159" spans="1:13" ht="15" thickBot="1" x14ac:dyDescent="0.4">
      <c r="A159" s="88"/>
      <c r="B159" s="182">
        <v>0</v>
      </c>
      <c r="C159" s="183">
        <v>0</v>
      </c>
      <c r="D159" s="183">
        <v>0</v>
      </c>
      <c r="E159" s="183">
        <v>0</v>
      </c>
      <c r="F159" s="184">
        <v>0</v>
      </c>
      <c r="G159" s="172">
        <v>0</v>
      </c>
      <c r="H159" s="173">
        <v>0</v>
      </c>
      <c r="I159" s="53"/>
      <c r="J159" s="376">
        <v>0</v>
      </c>
      <c r="K159" s="185">
        <v>0</v>
      </c>
      <c r="M159" s="186">
        <v>0</v>
      </c>
    </row>
    <row r="160" spans="1:13" ht="15" thickBot="1" x14ac:dyDescent="0.4">
      <c r="A160" s="75" t="s">
        <v>222</v>
      </c>
      <c r="B160" s="153">
        <f t="shared" ref="B160:D160" si="112">B158-B159</f>
        <v>0</v>
      </c>
      <c r="C160" s="187">
        <f t="shared" si="112"/>
        <v>0</v>
      </c>
      <c r="D160" s="187">
        <f t="shared" si="112"/>
        <v>0</v>
      </c>
      <c r="E160" s="187">
        <f t="shared" ref="E160:K160" si="113">E158-E159</f>
        <v>0</v>
      </c>
      <c r="F160" s="188">
        <f t="shared" si="113"/>
        <v>0</v>
      </c>
      <c r="G160" s="189">
        <f t="shared" ref="G160" si="114">G158-G159</f>
        <v>0</v>
      </c>
      <c r="H160" s="190">
        <f t="shared" si="113"/>
        <v>0</v>
      </c>
      <c r="I160" s="100"/>
      <c r="J160" s="375">
        <f>J158-J159</f>
        <v>0</v>
      </c>
      <c r="K160" s="385">
        <f t="shared" si="113"/>
        <v>0</v>
      </c>
      <c r="M160" s="191">
        <f t="shared" ref="M160" si="115">M158-M159</f>
        <v>0</v>
      </c>
    </row>
    <row r="161" spans="1:13" x14ac:dyDescent="0.35">
      <c r="A161" s="75"/>
      <c r="B161" s="200"/>
      <c r="C161" s="201"/>
      <c r="D161" s="201"/>
      <c r="E161" s="201"/>
      <c r="F161" s="202"/>
      <c r="G161" s="203"/>
      <c r="H161" s="204"/>
      <c r="I161" s="100"/>
      <c r="J161" s="384"/>
      <c r="K161" s="205"/>
      <c r="M161" s="206"/>
    </row>
    <row r="162" spans="1:13" x14ac:dyDescent="0.35">
      <c r="A162" s="75" t="s">
        <v>87</v>
      </c>
      <c r="B162" s="182"/>
      <c r="C162" s="183"/>
      <c r="D162" s="183"/>
      <c r="E162" s="183"/>
      <c r="F162" s="184"/>
      <c r="G162" s="172"/>
      <c r="H162" s="173"/>
      <c r="I162" s="53"/>
      <c r="J162" s="376"/>
      <c r="K162" s="185"/>
      <c r="M162" s="186"/>
    </row>
    <row r="163" spans="1:13" x14ac:dyDescent="0.35">
      <c r="A163" s="88" t="s">
        <v>56</v>
      </c>
      <c r="B163" s="216">
        <f t="shared" ref="B163:K165" si="116">B142+B146+B150+B154+B158</f>
        <v>539029</v>
      </c>
      <c r="C163" s="217">
        <f t="shared" si="116"/>
        <v>539205</v>
      </c>
      <c r="D163" s="217">
        <f t="shared" si="116"/>
        <v>556559</v>
      </c>
      <c r="E163" s="217">
        <f t="shared" ref="E163" si="117">E142+E146+E150+E154+E158</f>
        <v>649337</v>
      </c>
      <c r="F163" s="218">
        <f t="shared" si="116"/>
        <v>613200</v>
      </c>
      <c r="G163" s="219">
        <f t="shared" ref="G163" si="118">G142+G146+G150+G154+G158</f>
        <v>144560</v>
      </c>
      <c r="H163" s="220">
        <f t="shared" ref="H163:H165" si="119">H142+H146+H150+H154+H158</f>
        <v>144560</v>
      </c>
      <c r="I163" s="93"/>
      <c r="J163" s="374">
        <f>J142+J146+J150+J154+J158</f>
        <v>649337</v>
      </c>
      <c r="K163" s="388">
        <f t="shared" si="116"/>
        <v>149497</v>
      </c>
      <c r="M163" s="221">
        <f>M142+M146+M150+M154+M158</f>
        <v>150641</v>
      </c>
    </row>
    <row r="164" spans="1:13" ht="15" thickBot="1" x14ac:dyDescent="0.4">
      <c r="A164" s="88" t="s">
        <v>57</v>
      </c>
      <c r="B164" s="216">
        <f t="shared" si="116"/>
        <v>298311</v>
      </c>
      <c r="C164" s="217">
        <f t="shared" si="116"/>
        <v>325642</v>
      </c>
      <c r="D164" s="217">
        <f t="shared" si="116"/>
        <v>332542</v>
      </c>
      <c r="E164" s="217">
        <f t="shared" ref="E164" si="120">E143+E147+E151+E155+E159</f>
        <v>350130</v>
      </c>
      <c r="F164" s="218">
        <f t="shared" si="116"/>
        <v>341735</v>
      </c>
      <c r="G164" s="219">
        <f t="shared" ref="G164" si="121">G143+G147+G151+G155+G159</f>
        <v>77000</v>
      </c>
      <c r="H164" s="220">
        <f t="shared" si="119"/>
        <v>77000</v>
      </c>
      <c r="I164" s="93"/>
      <c r="J164" s="374">
        <f>J143+J147+J151+J155+J159</f>
        <v>346331</v>
      </c>
      <c r="K164" s="388">
        <f t="shared" si="116"/>
        <v>78364</v>
      </c>
      <c r="M164" s="221">
        <f>M143+M147+M151+M155+M159</f>
        <v>78364</v>
      </c>
    </row>
    <row r="165" spans="1:13" ht="15" thickBot="1" x14ac:dyDescent="0.4">
      <c r="A165" s="75" t="s">
        <v>58</v>
      </c>
      <c r="B165" s="153">
        <f>SUM(B163-B164)</f>
        <v>240718</v>
      </c>
      <c r="C165" s="187">
        <f>C144+C148+C152+C156+C160</f>
        <v>213563</v>
      </c>
      <c r="D165" s="187">
        <f>D144+D148+D152+D156+D160</f>
        <v>224017</v>
      </c>
      <c r="E165" s="187">
        <f t="shared" ref="E165" si="122">E144+E148+E152+E156+E160</f>
        <v>299207</v>
      </c>
      <c r="F165" s="188">
        <f t="shared" si="116"/>
        <v>271465</v>
      </c>
      <c r="G165" s="189">
        <f t="shared" ref="G165" si="123">G144+G148+G152+G156+G160</f>
        <v>67560</v>
      </c>
      <c r="H165" s="190">
        <f t="shared" si="119"/>
        <v>67560</v>
      </c>
      <c r="I165" s="100"/>
      <c r="J165" s="375">
        <f>J144+J148+J152+J156+J160</f>
        <v>303006</v>
      </c>
      <c r="K165" s="385">
        <f t="shared" si="116"/>
        <v>71133</v>
      </c>
      <c r="M165" s="191">
        <f>M144+M148+M152+M156+M160</f>
        <v>72277</v>
      </c>
    </row>
    <row r="166" spans="1:13" ht="15" thickBot="1" x14ac:dyDescent="0.4">
      <c r="A166" s="95"/>
      <c r="B166" s="271"/>
      <c r="C166" s="272"/>
      <c r="D166" s="272"/>
      <c r="E166" s="272"/>
      <c r="F166" s="272"/>
      <c r="G166" s="273"/>
      <c r="H166" s="204"/>
      <c r="I166" s="100"/>
      <c r="J166" s="399"/>
      <c r="K166" s="272"/>
      <c r="M166" s="274"/>
    </row>
    <row r="167" spans="1:13" x14ac:dyDescent="0.35">
      <c r="A167" s="81"/>
      <c r="B167" s="59"/>
      <c r="C167" s="60"/>
      <c r="D167" s="60"/>
      <c r="E167" s="61"/>
      <c r="F167" s="175" t="s">
        <v>215</v>
      </c>
      <c r="G167" s="62" t="s">
        <v>237</v>
      </c>
      <c r="H167" s="63" t="s">
        <v>238</v>
      </c>
      <c r="I167" s="64"/>
      <c r="J167" s="395" t="s">
        <v>217</v>
      </c>
      <c r="K167" s="350" t="s">
        <v>283</v>
      </c>
      <c r="M167" s="65" t="s">
        <v>270</v>
      </c>
    </row>
    <row r="168" spans="1:13" x14ac:dyDescent="0.35">
      <c r="A168" s="81"/>
      <c r="B168" s="66" t="s">
        <v>2</v>
      </c>
      <c r="C168" s="67" t="s">
        <v>1</v>
      </c>
      <c r="D168" s="67" t="s">
        <v>1</v>
      </c>
      <c r="E168" s="66" t="s">
        <v>1</v>
      </c>
      <c r="F168" s="176" t="s">
        <v>3</v>
      </c>
      <c r="G168" s="68" t="s">
        <v>234</v>
      </c>
      <c r="H168" s="69" t="s">
        <v>5</v>
      </c>
      <c r="I168" s="64"/>
      <c r="J168" s="370" t="s">
        <v>216</v>
      </c>
      <c r="K168" s="351" t="s">
        <v>4</v>
      </c>
      <c r="M168" s="70" t="s">
        <v>5</v>
      </c>
    </row>
    <row r="169" spans="1:13" ht="15" thickBot="1" x14ac:dyDescent="0.4">
      <c r="A169" s="81"/>
      <c r="B169" s="71" t="s">
        <v>6</v>
      </c>
      <c r="C169" s="71" t="s">
        <v>7</v>
      </c>
      <c r="D169" s="71" t="s">
        <v>8</v>
      </c>
      <c r="E169" s="71" t="s">
        <v>9</v>
      </c>
      <c r="F169" s="177" t="s">
        <v>229</v>
      </c>
      <c r="G169" s="72" t="s">
        <v>239</v>
      </c>
      <c r="H169" s="73" t="s">
        <v>235</v>
      </c>
      <c r="I169" s="64"/>
      <c r="J169" s="371" t="s">
        <v>9</v>
      </c>
      <c r="K169" s="352" t="s">
        <v>230</v>
      </c>
      <c r="M169" s="74" t="s">
        <v>285</v>
      </c>
    </row>
    <row r="170" spans="1:13" x14ac:dyDescent="0.35">
      <c r="A170" s="75" t="s">
        <v>88</v>
      </c>
      <c r="B170" s="182"/>
      <c r="C170" s="246"/>
      <c r="D170" s="246"/>
      <c r="E170" s="246"/>
      <c r="F170" s="275"/>
      <c r="G170" s="78"/>
      <c r="H170" s="79" t="s">
        <v>236</v>
      </c>
      <c r="I170" s="64"/>
      <c r="J170" s="376"/>
      <c r="K170" s="185"/>
      <c r="M170" s="80"/>
    </row>
    <row r="171" spans="1:13" x14ac:dyDescent="0.35">
      <c r="A171" s="88" t="s">
        <v>89</v>
      </c>
      <c r="B171" s="182">
        <v>17561</v>
      </c>
      <c r="C171" s="246">
        <v>29618</v>
      </c>
      <c r="D171" s="246">
        <v>26404</v>
      </c>
      <c r="E171" s="246">
        <v>13000</v>
      </c>
      <c r="F171" s="275">
        <v>10000</v>
      </c>
      <c r="G171" s="276">
        <v>13350</v>
      </c>
      <c r="H171" s="277">
        <v>13350</v>
      </c>
      <c r="I171" s="53"/>
      <c r="J171" s="376">
        <v>13000</v>
      </c>
      <c r="K171" s="185">
        <v>13715</v>
      </c>
      <c r="M171" s="278">
        <v>13715</v>
      </c>
    </row>
    <row r="172" spans="1:13" ht="15" thickBot="1" x14ac:dyDescent="0.4">
      <c r="A172" s="88" t="s">
        <v>90</v>
      </c>
      <c r="B172" s="182">
        <v>20824</v>
      </c>
      <c r="C172" s="246">
        <v>21234</v>
      </c>
      <c r="D172" s="246">
        <v>18993</v>
      </c>
      <c r="E172" s="246">
        <v>5470</v>
      </c>
      <c r="F172" s="275">
        <v>5000</v>
      </c>
      <c r="G172" s="276">
        <v>8677</v>
      </c>
      <c r="H172" s="277">
        <v>8677</v>
      </c>
      <c r="I172" s="53"/>
      <c r="J172" s="376">
        <v>5470</v>
      </c>
      <c r="K172" s="185">
        <v>9129</v>
      </c>
      <c r="M172" s="278">
        <v>9129</v>
      </c>
    </row>
    <row r="173" spans="1:13" ht="15" thickBot="1" x14ac:dyDescent="0.4">
      <c r="A173" s="75" t="s">
        <v>91</v>
      </c>
      <c r="B173" s="153">
        <f t="shared" ref="B173:D173" si="124">B171-B172</f>
        <v>-3263</v>
      </c>
      <c r="C173" s="187">
        <f t="shared" si="124"/>
        <v>8384</v>
      </c>
      <c r="D173" s="187">
        <f t="shared" si="124"/>
        <v>7411</v>
      </c>
      <c r="E173" s="187">
        <v>7530</v>
      </c>
      <c r="F173" s="188">
        <f>F171-F172</f>
        <v>5000</v>
      </c>
      <c r="G173" s="189">
        <f>G171-G172</f>
        <v>4673</v>
      </c>
      <c r="H173" s="190">
        <f>H171-H172</f>
        <v>4673</v>
      </c>
      <c r="I173" s="100"/>
      <c r="J173" s="375">
        <f>J171-J172</f>
        <v>7530</v>
      </c>
      <c r="K173" s="385">
        <f>SUM(K171-K172)</f>
        <v>4586</v>
      </c>
      <c r="M173" s="191">
        <f>M171-M172</f>
        <v>4586</v>
      </c>
    </row>
    <row r="174" spans="1:13" x14ac:dyDescent="0.35">
      <c r="A174" s="75"/>
      <c r="B174" s="182"/>
      <c r="C174" s="246"/>
      <c r="D174" s="246"/>
      <c r="E174" s="279"/>
      <c r="F174" s="280"/>
      <c r="G174" s="281"/>
      <c r="H174" s="282"/>
      <c r="I174" s="196"/>
      <c r="J174" s="376"/>
      <c r="K174" s="197"/>
      <c r="M174" s="283"/>
    </row>
    <row r="175" spans="1:13" x14ac:dyDescent="0.35">
      <c r="A175" s="75"/>
      <c r="B175" s="182"/>
      <c r="C175" s="246"/>
      <c r="D175" s="246"/>
      <c r="E175" s="279"/>
      <c r="F175" s="280"/>
      <c r="G175" s="281"/>
      <c r="H175" s="282"/>
      <c r="I175" s="196"/>
      <c r="J175" s="376"/>
      <c r="K175" s="197"/>
      <c r="M175" s="283"/>
    </row>
    <row r="176" spans="1:13" x14ac:dyDescent="0.35">
      <c r="A176" s="88" t="s">
        <v>92</v>
      </c>
      <c r="B176" s="182">
        <v>33728</v>
      </c>
      <c r="C176" s="246">
        <v>43956</v>
      </c>
      <c r="D176" s="246">
        <v>45444</v>
      </c>
      <c r="E176" s="246">
        <v>43738</v>
      </c>
      <c r="F176" s="275">
        <v>40000</v>
      </c>
      <c r="G176" s="276">
        <v>0</v>
      </c>
      <c r="H176" s="277">
        <v>0</v>
      </c>
      <c r="I176" s="53"/>
      <c r="J176" s="376">
        <v>43408</v>
      </c>
      <c r="K176" s="185">
        <v>13696</v>
      </c>
      <c r="M176" s="278">
        <v>13696</v>
      </c>
    </row>
    <row r="177" spans="1:13" ht="15" thickBot="1" x14ac:dyDescent="0.4">
      <c r="A177" s="88" t="s">
        <v>93</v>
      </c>
      <c r="B177" s="182">
        <v>23410</v>
      </c>
      <c r="C177" s="246">
        <v>33582</v>
      </c>
      <c r="D177" s="246">
        <v>29712</v>
      </c>
      <c r="E177" s="246">
        <v>32202</v>
      </c>
      <c r="F177" s="275">
        <v>26000</v>
      </c>
      <c r="G177" s="276">
        <v>0</v>
      </c>
      <c r="H177" s="277"/>
      <c r="I177" s="53"/>
      <c r="J177" s="376">
        <v>25864</v>
      </c>
      <c r="K177" s="185">
        <v>5261</v>
      </c>
      <c r="M177" s="278">
        <v>8901.75</v>
      </c>
    </row>
    <row r="178" spans="1:13" ht="15" thickBot="1" x14ac:dyDescent="0.4">
      <c r="A178" s="75" t="s">
        <v>94</v>
      </c>
      <c r="B178" s="153">
        <f t="shared" ref="B178:D178" si="125">B176-B177</f>
        <v>10318</v>
      </c>
      <c r="C178" s="187">
        <f t="shared" si="125"/>
        <v>10374</v>
      </c>
      <c r="D178" s="187">
        <f t="shared" si="125"/>
        <v>15732</v>
      </c>
      <c r="E178" s="187">
        <f>E176-E177</f>
        <v>11536</v>
      </c>
      <c r="F178" s="188">
        <f>F176-F177</f>
        <v>14000</v>
      </c>
      <c r="G178" s="189">
        <v>0</v>
      </c>
      <c r="H178" s="190">
        <f>SUM(H176-H177)</f>
        <v>0</v>
      </c>
      <c r="I178" s="100"/>
      <c r="J178" s="375">
        <f>J176-J177</f>
        <v>17544</v>
      </c>
      <c r="K178" s="385">
        <f>K176-K177</f>
        <v>8435</v>
      </c>
      <c r="M178" s="191">
        <f>SUM(M176-M177)</f>
        <v>4794.25</v>
      </c>
    </row>
    <row r="179" spans="1:13" x14ac:dyDescent="0.35">
      <c r="A179" s="75"/>
      <c r="B179" s="182"/>
      <c r="C179" s="246"/>
      <c r="D179" s="246"/>
      <c r="E179" s="279"/>
      <c r="F179" s="280"/>
      <c r="G179" s="281"/>
      <c r="H179" s="282"/>
      <c r="I179" s="196"/>
      <c r="J179" s="376"/>
      <c r="K179" s="197"/>
      <c r="M179" s="283"/>
    </row>
    <row r="180" spans="1:13" x14ac:dyDescent="0.35">
      <c r="A180" s="75"/>
      <c r="B180" s="182"/>
      <c r="C180" s="246"/>
      <c r="D180" s="246"/>
      <c r="E180" s="279"/>
      <c r="F180" s="280"/>
      <c r="G180" s="281"/>
      <c r="H180" s="282"/>
      <c r="I180" s="196"/>
      <c r="J180" s="376"/>
      <c r="K180" s="197"/>
      <c r="M180" s="283"/>
    </row>
    <row r="181" spans="1:13" x14ac:dyDescent="0.35">
      <c r="A181" s="88" t="s">
        <v>95</v>
      </c>
      <c r="B181" s="182">
        <v>203503</v>
      </c>
      <c r="C181" s="246">
        <v>193785</v>
      </c>
      <c r="D181" s="246">
        <v>181683</v>
      </c>
      <c r="E181" s="246">
        <v>175045</v>
      </c>
      <c r="F181" s="275">
        <v>178000</v>
      </c>
      <c r="G181" s="276">
        <v>52400</v>
      </c>
      <c r="H181" s="277">
        <v>30000</v>
      </c>
      <c r="I181" s="53"/>
      <c r="J181" s="376">
        <v>175045</v>
      </c>
      <c r="K181" s="185">
        <v>118712</v>
      </c>
      <c r="M181" s="278">
        <v>123077</v>
      </c>
    </row>
    <row r="182" spans="1:13" ht="15" thickBot="1" x14ac:dyDescent="0.4">
      <c r="A182" s="88" t="s">
        <v>96</v>
      </c>
      <c r="B182" s="182">
        <v>150704</v>
      </c>
      <c r="C182" s="246">
        <v>146014</v>
      </c>
      <c r="D182" s="246">
        <v>125465</v>
      </c>
      <c r="E182" s="246">
        <v>127641</v>
      </c>
      <c r="F182" s="275">
        <v>125000</v>
      </c>
      <c r="G182" s="276">
        <v>38776</v>
      </c>
      <c r="H182" s="277">
        <v>20974</v>
      </c>
      <c r="I182" s="53"/>
      <c r="J182" s="376">
        <v>123724</v>
      </c>
      <c r="K182" s="185">
        <v>64650</v>
      </c>
      <c r="M182" s="278">
        <v>77256</v>
      </c>
    </row>
    <row r="183" spans="1:13" ht="15" thickBot="1" x14ac:dyDescent="0.4">
      <c r="A183" s="75" t="s">
        <v>97</v>
      </c>
      <c r="B183" s="153">
        <f t="shared" ref="B183:D183" si="126">B181-B182</f>
        <v>52799</v>
      </c>
      <c r="C183" s="187">
        <f t="shared" si="126"/>
        <v>47771</v>
      </c>
      <c r="D183" s="187">
        <f t="shared" si="126"/>
        <v>56218</v>
      </c>
      <c r="E183" s="187">
        <f t="shared" ref="E183:K183" si="127">E181-E182</f>
        <v>47404</v>
      </c>
      <c r="F183" s="188">
        <f t="shared" si="127"/>
        <v>53000</v>
      </c>
      <c r="G183" s="189">
        <f t="shared" ref="G183" si="128">G181-G182</f>
        <v>13624</v>
      </c>
      <c r="H183" s="190">
        <f t="shared" si="127"/>
        <v>9026</v>
      </c>
      <c r="I183" s="100"/>
      <c r="J183" s="375">
        <f>J181-J182</f>
        <v>51321</v>
      </c>
      <c r="K183" s="385">
        <f t="shared" si="127"/>
        <v>54062</v>
      </c>
      <c r="M183" s="191">
        <f t="shared" ref="M183" si="129">M181-M182</f>
        <v>45821</v>
      </c>
    </row>
    <row r="184" spans="1:13" x14ac:dyDescent="0.35">
      <c r="A184" s="81"/>
      <c r="B184" s="182"/>
      <c r="C184" s="246"/>
      <c r="D184" s="246"/>
      <c r="E184" s="246"/>
      <c r="F184" s="275"/>
      <c r="G184" s="276"/>
      <c r="H184" s="277"/>
      <c r="I184" s="53"/>
      <c r="J184" s="376"/>
      <c r="K184" s="185"/>
      <c r="M184" s="278"/>
    </row>
    <row r="185" spans="1:13" x14ac:dyDescent="0.35">
      <c r="A185" s="88" t="s">
        <v>98</v>
      </c>
      <c r="B185" s="182">
        <v>11065</v>
      </c>
      <c r="C185" s="246">
        <v>11525</v>
      </c>
      <c r="D185" s="246">
        <v>19391</v>
      </c>
      <c r="E185" s="246">
        <v>21627</v>
      </c>
      <c r="F185" s="275">
        <v>21000</v>
      </c>
      <c r="G185" s="276">
        <v>0</v>
      </c>
      <c r="H185" s="277">
        <v>0</v>
      </c>
      <c r="I185" s="53"/>
      <c r="J185" s="376">
        <v>21065</v>
      </c>
      <c r="K185" s="185">
        <v>53</v>
      </c>
      <c r="M185" s="278">
        <v>53</v>
      </c>
    </row>
    <row r="186" spans="1:13" ht="15" thickBot="1" x14ac:dyDescent="0.4">
      <c r="A186" s="88" t="s">
        <v>99</v>
      </c>
      <c r="B186" s="182">
        <v>5411</v>
      </c>
      <c r="C186" s="246">
        <v>4370</v>
      </c>
      <c r="D186" s="246">
        <v>7734</v>
      </c>
      <c r="E186" s="246">
        <v>6528</v>
      </c>
      <c r="F186" s="275">
        <v>7500</v>
      </c>
      <c r="G186" s="276">
        <v>0</v>
      </c>
      <c r="H186" s="277">
        <v>0</v>
      </c>
      <c r="I186" s="53"/>
      <c r="J186" s="376">
        <v>3815</v>
      </c>
      <c r="K186" s="185">
        <v>1449</v>
      </c>
      <c r="L186" s="284"/>
      <c r="M186" s="278">
        <v>1449</v>
      </c>
    </row>
    <row r="187" spans="1:13" ht="15" thickBot="1" x14ac:dyDescent="0.4">
      <c r="A187" s="75" t="s">
        <v>100</v>
      </c>
      <c r="B187" s="153">
        <f t="shared" ref="B187:D187" si="130">B185-B186</f>
        <v>5654</v>
      </c>
      <c r="C187" s="187">
        <f t="shared" si="130"/>
        <v>7155</v>
      </c>
      <c r="D187" s="187">
        <f t="shared" si="130"/>
        <v>11657</v>
      </c>
      <c r="E187" s="187">
        <f>E185-E186</f>
        <v>15099</v>
      </c>
      <c r="F187" s="188">
        <f>F185-F186</f>
        <v>13500</v>
      </c>
      <c r="G187" s="189">
        <v>0</v>
      </c>
      <c r="H187" s="190">
        <v>0</v>
      </c>
      <c r="I187" s="100"/>
      <c r="J187" s="375">
        <f>J185-J186</f>
        <v>17250</v>
      </c>
      <c r="K187" s="385">
        <f>K185-K186</f>
        <v>-1396</v>
      </c>
      <c r="L187" s="285"/>
      <c r="M187" s="191">
        <f>SUM(M185-M186)</f>
        <v>-1396</v>
      </c>
    </row>
    <row r="188" spans="1:13" x14ac:dyDescent="0.35">
      <c r="A188" s="81"/>
      <c r="B188" s="182"/>
      <c r="C188" s="246"/>
      <c r="D188" s="246"/>
      <c r="E188" s="246"/>
      <c r="F188" s="275"/>
      <c r="G188" s="276"/>
      <c r="H188" s="277"/>
      <c r="I188" s="53"/>
      <c r="J188" s="376"/>
      <c r="K188" s="185"/>
      <c r="M188" s="278"/>
    </row>
    <row r="189" spans="1:13" x14ac:dyDescent="0.35">
      <c r="A189" s="88" t="s">
        <v>101</v>
      </c>
      <c r="B189" s="182">
        <v>22384</v>
      </c>
      <c r="C189" s="246">
        <v>21300</v>
      </c>
      <c r="D189" s="246">
        <v>22348</v>
      </c>
      <c r="E189" s="246">
        <v>23635</v>
      </c>
      <c r="F189" s="275">
        <v>23000</v>
      </c>
      <c r="G189" s="276">
        <v>27000</v>
      </c>
      <c r="H189" s="277">
        <v>24500</v>
      </c>
      <c r="I189" s="53"/>
      <c r="J189" s="376">
        <v>23430</v>
      </c>
      <c r="K189" s="185">
        <v>32920</v>
      </c>
      <c r="L189" s="285"/>
      <c r="M189" s="278">
        <v>32920</v>
      </c>
    </row>
    <row r="190" spans="1:13" ht="15" thickBot="1" x14ac:dyDescent="0.4">
      <c r="A190" s="88" t="s">
        <v>102</v>
      </c>
      <c r="B190" s="182">
        <v>5729</v>
      </c>
      <c r="C190" s="246">
        <v>6611</v>
      </c>
      <c r="D190" s="246">
        <v>5215</v>
      </c>
      <c r="E190" s="246">
        <v>5808</v>
      </c>
      <c r="F190" s="275">
        <v>6500</v>
      </c>
      <c r="G190" s="276">
        <v>6000</v>
      </c>
      <c r="H190" s="277">
        <v>3000</v>
      </c>
      <c r="I190" s="53"/>
      <c r="J190" s="376">
        <v>5268</v>
      </c>
      <c r="K190" s="185">
        <v>5164</v>
      </c>
      <c r="M190" s="278">
        <v>5500</v>
      </c>
    </row>
    <row r="191" spans="1:13" ht="15" thickBot="1" x14ac:dyDescent="0.4">
      <c r="A191" s="75" t="s">
        <v>100</v>
      </c>
      <c r="B191" s="153">
        <f t="shared" ref="B191:D191" si="131">B189-B190</f>
        <v>16655</v>
      </c>
      <c r="C191" s="187">
        <f t="shared" si="131"/>
        <v>14689</v>
      </c>
      <c r="D191" s="187">
        <f t="shared" si="131"/>
        <v>17133</v>
      </c>
      <c r="E191" s="187">
        <f t="shared" ref="E191:K191" si="132">E189-E190</f>
        <v>17827</v>
      </c>
      <c r="F191" s="188">
        <f t="shared" si="132"/>
        <v>16500</v>
      </c>
      <c r="G191" s="189">
        <f t="shared" ref="G191" si="133">G189-G190</f>
        <v>21000</v>
      </c>
      <c r="H191" s="190">
        <f t="shared" si="132"/>
        <v>21500</v>
      </c>
      <c r="I191" s="100"/>
      <c r="J191" s="375">
        <f>J189-J190</f>
        <v>18162</v>
      </c>
      <c r="K191" s="385">
        <f t="shared" si="132"/>
        <v>27756</v>
      </c>
      <c r="M191" s="191">
        <f t="shared" ref="M191" si="134">M189-M190</f>
        <v>27420</v>
      </c>
    </row>
    <row r="192" spans="1:13" x14ac:dyDescent="0.35">
      <c r="A192" s="81"/>
      <c r="B192" s="182"/>
      <c r="C192" s="246"/>
      <c r="D192" s="246"/>
      <c r="E192" s="246"/>
      <c r="F192" s="275"/>
      <c r="G192" s="276"/>
      <c r="H192" s="277"/>
      <c r="I192" s="53"/>
      <c r="J192" s="376"/>
      <c r="K192" s="185"/>
      <c r="M192" s="278"/>
    </row>
    <row r="193" spans="1:13" x14ac:dyDescent="0.35">
      <c r="A193" s="88" t="s">
        <v>103</v>
      </c>
      <c r="B193" s="182">
        <v>89427</v>
      </c>
      <c r="C193" s="246">
        <v>103506</v>
      </c>
      <c r="D193" s="246">
        <v>123820</v>
      </c>
      <c r="E193" s="246">
        <v>107499</v>
      </c>
      <c r="F193" s="275">
        <v>60125</v>
      </c>
      <c r="G193" s="276">
        <f>SUM(G343)</f>
        <v>2000</v>
      </c>
      <c r="H193" s="277">
        <f>SUM(H343)</f>
        <v>2000</v>
      </c>
      <c r="I193" s="53"/>
      <c r="J193" s="376">
        <v>107334</v>
      </c>
      <c r="K193" s="185">
        <v>2000</v>
      </c>
      <c r="M193" s="278">
        <v>2000</v>
      </c>
    </row>
    <row r="194" spans="1:13" ht="15" thickBot="1" x14ac:dyDescent="0.4">
      <c r="A194" s="88" t="s">
        <v>104</v>
      </c>
      <c r="B194" s="182">
        <v>54749</v>
      </c>
      <c r="C194" s="246">
        <v>79491</v>
      </c>
      <c r="D194" s="246">
        <v>85122</v>
      </c>
      <c r="E194" s="246">
        <v>69445</v>
      </c>
      <c r="F194" s="275">
        <v>32752</v>
      </c>
      <c r="G194" s="276">
        <f>SUM(G344+G345)</f>
        <v>3989</v>
      </c>
      <c r="H194" s="277">
        <f>SUM(H344+H345)</f>
        <v>3989</v>
      </c>
      <c r="I194" s="53"/>
      <c r="J194" s="376">
        <v>62559</v>
      </c>
      <c r="K194" s="185">
        <v>4019</v>
      </c>
      <c r="M194" s="278">
        <v>4019</v>
      </c>
    </row>
    <row r="195" spans="1:13" ht="15" thickBot="1" x14ac:dyDescent="0.4">
      <c r="A195" s="75" t="s">
        <v>105</v>
      </c>
      <c r="B195" s="153">
        <f t="shared" ref="B195:F195" si="135">SUM(B193-B194)</f>
        <v>34678</v>
      </c>
      <c r="C195" s="187">
        <f t="shared" si="135"/>
        <v>24015</v>
      </c>
      <c r="D195" s="187">
        <f t="shared" si="135"/>
        <v>38698</v>
      </c>
      <c r="E195" s="187">
        <f>SUM(E193-E194)</f>
        <v>38054</v>
      </c>
      <c r="F195" s="188">
        <f t="shared" si="135"/>
        <v>27373</v>
      </c>
      <c r="G195" s="189">
        <f>SUM(G193-G194)</f>
        <v>-1989</v>
      </c>
      <c r="H195" s="190">
        <f>SUM(H193-H194)</f>
        <v>-1989</v>
      </c>
      <c r="I195" s="100"/>
      <c r="J195" s="375">
        <f>SUM(J193-J194)</f>
        <v>44775</v>
      </c>
      <c r="K195" s="385">
        <f>SUM(K193-K194)</f>
        <v>-2019</v>
      </c>
      <c r="M195" s="191">
        <f>SUM(M193-M194)</f>
        <v>-2019</v>
      </c>
    </row>
    <row r="196" spans="1:13" x14ac:dyDescent="0.35">
      <c r="A196" s="81"/>
      <c r="B196" s="182"/>
      <c r="C196" s="246"/>
      <c r="D196" s="246"/>
      <c r="E196" s="246"/>
      <c r="F196" s="275"/>
      <c r="G196" s="276"/>
      <c r="H196" s="277"/>
      <c r="I196" s="53"/>
      <c r="J196" s="376"/>
      <c r="K196" s="185"/>
      <c r="M196" s="278"/>
    </row>
    <row r="197" spans="1:13" x14ac:dyDescent="0.35">
      <c r="A197" s="88" t="s">
        <v>106</v>
      </c>
      <c r="B197" s="182">
        <v>0</v>
      </c>
      <c r="C197" s="246">
        <v>0</v>
      </c>
      <c r="D197" s="246">
        <v>0</v>
      </c>
      <c r="E197" s="246">
        <v>0</v>
      </c>
      <c r="F197" s="275">
        <v>0</v>
      </c>
      <c r="G197" s="276">
        <v>0</v>
      </c>
      <c r="H197" s="277">
        <v>0</v>
      </c>
      <c r="I197" s="53"/>
      <c r="J197" s="376">
        <v>0</v>
      </c>
      <c r="K197" s="185">
        <v>0</v>
      </c>
      <c r="M197" s="278">
        <v>0</v>
      </c>
    </row>
    <row r="198" spans="1:13" ht="15" thickBot="1" x14ac:dyDescent="0.4">
      <c r="A198" s="88" t="s">
        <v>219</v>
      </c>
      <c r="B198" s="158">
        <v>612</v>
      </c>
      <c r="C198" s="286">
        <v>2320</v>
      </c>
      <c r="D198" s="286">
        <v>0</v>
      </c>
      <c r="E198" s="286">
        <v>1993</v>
      </c>
      <c r="F198" s="287">
        <v>0</v>
      </c>
      <c r="G198" s="288">
        <v>0</v>
      </c>
      <c r="H198" s="289">
        <v>0</v>
      </c>
      <c r="I198" s="53"/>
      <c r="J198" s="400">
        <v>509</v>
      </c>
      <c r="K198" s="390">
        <v>0</v>
      </c>
      <c r="M198" s="290">
        <v>0</v>
      </c>
    </row>
    <row r="199" spans="1:13" ht="15" thickBot="1" x14ac:dyDescent="0.4">
      <c r="A199" s="75" t="s">
        <v>107</v>
      </c>
      <c r="B199" s="153">
        <f t="shared" ref="B199:K199" si="136">B197-B198</f>
        <v>-612</v>
      </c>
      <c r="C199" s="187">
        <f t="shared" si="136"/>
        <v>-2320</v>
      </c>
      <c r="D199" s="187">
        <f t="shared" si="136"/>
        <v>0</v>
      </c>
      <c r="E199" s="187">
        <f t="shared" ref="E199" si="137">E197-E198</f>
        <v>-1993</v>
      </c>
      <c r="F199" s="188">
        <v>0</v>
      </c>
      <c r="G199" s="189">
        <v>0</v>
      </c>
      <c r="H199" s="190">
        <v>0</v>
      </c>
      <c r="I199" s="100"/>
      <c r="J199" s="375">
        <f>J197-J198</f>
        <v>-509</v>
      </c>
      <c r="K199" s="385">
        <f t="shared" si="136"/>
        <v>0</v>
      </c>
      <c r="M199" s="191">
        <v>0</v>
      </c>
    </row>
    <row r="200" spans="1:13" x14ac:dyDescent="0.35">
      <c r="A200" s="75"/>
      <c r="B200" s="200"/>
      <c r="C200" s="291"/>
      <c r="D200" s="291"/>
      <c r="E200" s="291"/>
      <c r="F200" s="292"/>
      <c r="G200" s="293"/>
      <c r="H200" s="294"/>
      <c r="I200" s="100"/>
      <c r="J200" s="384"/>
      <c r="K200" s="205"/>
      <c r="M200" s="295"/>
    </row>
    <row r="201" spans="1:13" x14ac:dyDescent="0.35">
      <c r="A201" s="88" t="s">
        <v>108</v>
      </c>
      <c r="B201" s="182">
        <v>2800</v>
      </c>
      <c r="C201" s="246">
        <v>2400</v>
      </c>
      <c r="D201" s="246">
        <v>5600</v>
      </c>
      <c r="E201" s="246">
        <v>3700</v>
      </c>
      <c r="F201" s="275">
        <v>4000</v>
      </c>
      <c r="G201" s="276">
        <v>0</v>
      </c>
      <c r="H201" s="277">
        <v>0</v>
      </c>
      <c r="I201" s="53"/>
      <c r="J201" s="376">
        <v>3700</v>
      </c>
      <c r="K201" s="185">
        <v>0</v>
      </c>
      <c r="M201" s="278">
        <v>0</v>
      </c>
    </row>
    <row r="202" spans="1:13" ht="15" thickBot="1" x14ac:dyDescent="0.4">
      <c r="A202" s="88" t="s">
        <v>109</v>
      </c>
      <c r="B202" s="182">
        <v>21798</v>
      </c>
      <c r="C202" s="246">
        <v>21354</v>
      </c>
      <c r="D202" s="246">
        <v>18401</v>
      </c>
      <c r="E202" s="246">
        <v>16480</v>
      </c>
      <c r="F202" s="275">
        <v>18000</v>
      </c>
      <c r="G202" s="276">
        <v>4968</v>
      </c>
      <c r="H202" s="277">
        <v>4968</v>
      </c>
      <c r="I202" s="53"/>
      <c r="J202" s="376">
        <v>17396</v>
      </c>
      <c r="K202" s="185">
        <v>4968</v>
      </c>
      <c r="M202" s="278">
        <v>4968</v>
      </c>
    </row>
    <row r="203" spans="1:13" ht="15" thickBot="1" x14ac:dyDescent="0.4">
      <c r="A203" s="75" t="s">
        <v>110</v>
      </c>
      <c r="B203" s="153">
        <f t="shared" ref="B203:D203" si="138">B201-B202</f>
        <v>-18998</v>
      </c>
      <c r="C203" s="187">
        <f t="shared" si="138"/>
        <v>-18954</v>
      </c>
      <c r="D203" s="187">
        <f t="shared" si="138"/>
        <v>-12801</v>
      </c>
      <c r="E203" s="187">
        <f t="shared" ref="E203:K203" si="139">E201-E202</f>
        <v>-12780</v>
      </c>
      <c r="F203" s="188">
        <f t="shared" si="139"/>
        <v>-14000</v>
      </c>
      <c r="G203" s="189">
        <f t="shared" ref="G203" si="140">G201-G202</f>
        <v>-4968</v>
      </c>
      <c r="H203" s="190">
        <f t="shared" si="139"/>
        <v>-4968</v>
      </c>
      <c r="I203" s="100"/>
      <c r="J203" s="375">
        <f>J201-J202</f>
        <v>-13696</v>
      </c>
      <c r="K203" s="385">
        <f t="shared" si="139"/>
        <v>-4968</v>
      </c>
      <c r="M203" s="191">
        <f t="shared" ref="M203" si="141">M201-M202</f>
        <v>-4968</v>
      </c>
    </row>
    <row r="204" spans="1:13" x14ac:dyDescent="0.35">
      <c r="A204" s="81"/>
      <c r="B204" s="200"/>
      <c r="C204" s="291"/>
      <c r="D204" s="291"/>
      <c r="E204" s="291"/>
      <c r="F204" s="292"/>
      <c r="G204" s="293"/>
      <c r="H204" s="294"/>
      <c r="I204" s="100"/>
      <c r="J204" s="384"/>
      <c r="K204" s="205"/>
      <c r="M204" s="295"/>
    </row>
    <row r="205" spans="1:13" x14ac:dyDescent="0.35">
      <c r="A205" s="75" t="s">
        <v>111</v>
      </c>
      <c r="B205" s="182"/>
      <c r="C205" s="246"/>
      <c r="D205" s="246"/>
      <c r="E205" s="246"/>
      <c r="F205" s="275"/>
      <c r="G205" s="276"/>
      <c r="H205" s="277"/>
      <c r="I205" s="53"/>
      <c r="J205" s="376"/>
      <c r="K205" s="185"/>
      <c r="M205" s="278"/>
    </row>
    <row r="206" spans="1:13" x14ac:dyDescent="0.35">
      <c r="A206" s="88" t="s">
        <v>56</v>
      </c>
      <c r="B206" s="216">
        <f t="shared" ref="B206:K206" si="142">B171+B189+B193+B197+B201+B185+B176+B181</f>
        <v>380468</v>
      </c>
      <c r="C206" s="217">
        <f t="shared" si="142"/>
        <v>406090</v>
      </c>
      <c r="D206" s="217">
        <f t="shared" si="142"/>
        <v>424690</v>
      </c>
      <c r="E206" s="217">
        <f t="shared" ref="E206" si="143">E171+E189+E193+E197+E201+E185+E176+E181</f>
        <v>388244</v>
      </c>
      <c r="F206" s="218">
        <f t="shared" si="142"/>
        <v>336125</v>
      </c>
      <c r="G206" s="219">
        <f>G171+G189+G193+G197+G201+G185+G176+G181</f>
        <v>94750</v>
      </c>
      <c r="H206" s="220">
        <f>H171+H189+H193+H197+H201+H185+H176+H181</f>
        <v>69850</v>
      </c>
      <c r="I206" s="93"/>
      <c r="J206" s="374">
        <f>J171+J189+J193+J197+J201+J185+J176+J181</f>
        <v>386982</v>
      </c>
      <c r="K206" s="388">
        <f t="shared" si="142"/>
        <v>181096</v>
      </c>
      <c r="M206" s="221">
        <f>M171+M189+M193+M197+M201+M185+M176+M181</f>
        <v>185461</v>
      </c>
    </row>
    <row r="207" spans="1:13" ht="15" thickBot="1" x14ac:dyDescent="0.4">
      <c r="A207" s="88" t="s">
        <v>57</v>
      </c>
      <c r="B207" s="216">
        <f t="shared" ref="B207:K207" si="144">B172+B194+B198+B202+B190+B186+B177+B182</f>
        <v>283237</v>
      </c>
      <c r="C207" s="217">
        <f t="shared" si="144"/>
        <v>314976</v>
      </c>
      <c r="D207" s="217">
        <f t="shared" si="144"/>
        <v>290642</v>
      </c>
      <c r="E207" s="217">
        <f t="shared" ref="E207" si="145">E172+E194+E198+E202+E190+E186+E177+E182</f>
        <v>265567</v>
      </c>
      <c r="F207" s="218">
        <f t="shared" si="144"/>
        <v>220752</v>
      </c>
      <c r="G207" s="219">
        <f>SUM(G172, G177, G182, G186, G190, G194, G198, G202)</f>
        <v>62410</v>
      </c>
      <c r="H207" s="220">
        <f>SUM(H172, H177, H182, H186, H190, H194, H198, H202)</f>
        <v>41608</v>
      </c>
      <c r="I207" s="93"/>
      <c r="J207" s="374">
        <f>J172+J194+J198+J202+J190+J186+J177+J182</f>
        <v>244605</v>
      </c>
      <c r="K207" s="388">
        <f t="shared" si="144"/>
        <v>94640</v>
      </c>
      <c r="M207" s="221">
        <f>SUM(M172, M177, M182, M186, M190, M194, M198, M202)</f>
        <v>111222.75</v>
      </c>
    </row>
    <row r="208" spans="1:13" ht="15" thickBot="1" x14ac:dyDescent="0.4">
      <c r="A208" s="95" t="s">
        <v>58</v>
      </c>
      <c r="B208" s="153">
        <f t="shared" ref="B208:D208" si="146">B206-B207</f>
        <v>97231</v>
      </c>
      <c r="C208" s="187">
        <f t="shared" si="146"/>
        <v>91114</v>
      </c>
      <c r="D208" s="187">
        <f t="shared" si="146"/>
        <v>134048</v>
      </c>
      <c r="E208" s="187">
        <f t="shared" ref="E208:K208" si="147">E206-E207</f>
        <v>122677</v>
      </c>
      <c r="F208" s="188">
        <f t="shared" si="147"/>
        <v>115373</v>
      </c>
      <c r="G208" s="189">
        <f t="shared" ref="G208" si="148">G206-G207</f>
        <v>32340</v>
      </c>
      <c r="H208" s="190">
        <f t="shared" si="147"/>
        <v>28242</v>
      </c>
      <c r="I208" s="100"/>
      <c r="J208" s="375">
        <f>J206-J207</f>
        <v>142377</v>
      </c>
      <c r="K208" s="385">
        <f t="shared" si="147"/>
        <v>86456</v>
      </c>
      <c r="M208" s="191">
        <f t="shared" ref="M208" si="149">M206-M207</f>
        <v>74238.25</v>
      </c>
    </row>
    <row r="209" spans="1:13" ht="15" thickBot="1" x14ac:dyDescent="0.4">
      <c r="A209" s="95"/>
      <c r="B209" s="296"/>
      <c r="C209" s="296"/>
      <c r="D209" s="296"/>
      <c r="E209" s="296"/>
      <c r="F209" s="296"/>
      <c r="G209" s="297"/>
      <c r="H209" s="298"/>
      <c r="I209" s="100"/>
      <c r="J209" s="96"/>
      <c r="K209" s="296"/>
      <c r="M209" s="299"/>
    </row>
    <row r="210" spans="1:13" x14ac:dyDescent="0.35">
      <c r="A210" s="81"/>
      <c r="B210" s="59"/>
      <c r="C210" s="60"/>
      <c r="D210" s="60"/>
      <c r="E210" s="61"/>
      <c r="F210" s="175" t="s">
        <v>215</v>
      </c>
      <c r="G210" s="62" t="s">
        <v>237</v>
      </c>
      <c r="H210" s="63" t="s">
        <v>238</v>
      </c>
      <c r="I210" s="64"/>
      <c r="J210" s="395" t="s">
        <v>217</v>
      </c>
      <c r="K210" s="350" t="s">
        <v>283</v>
      </c>
      <c r="M210" s="65" t="s">
        <v>270</v>
      </c>
    </row>
    <row r="211" spans="1:13" x14ac:dyDescent="0.35">
      <c r="A211" s="81"/>
      <c r="B211" s="66" t="s">
        <v>2</v>
      </c>
      <c r="C211" s="67" t="s">
        <v>1</v>
      </c>
      <c r="D211" s="67" t="s">
        <v>1</v>
      </c>
      <c r="E211" s="66" t="s">
        <v>1</v>
      </c>
      <c r="F211" s="176" t="s">
        <v>3</v>
      </c>
      <c r="G211" s="68" t="s">
        <v>234</v>
      </c>
      <c r="H211" s="69" t="s">
        <v>5</v>
      </c>
      <c r="I211" s="64"/>
      <c r="J211" s="370" t="s">
        <v>216</v>
      </c>
      <c r="K211" s="351" t="s">
        <v>4</v>
      </c>
      <c r="M211" s="70" t="s">
        <v>5</v>
      </c>
    </row>
    <row r="212" spans="1:13" ht="15" thickBot="1" x14ac:dyDescent="0.4">
      <c r="A212" s="58" t="s">
        <v>112</v>
      </c>
      <c r="B212" s="300" t="s">
        <v>6</v>
      </c>
      <c r="C212" s="71" t="s">
        <v>7</v>
      </c>
      <c r="D212" s="71" t="s">
        <v>8</v>
      </c>
      <c r="E212" s="71" t="s">
        <v>9</v>
      </c>
      <c r="F212" s="177" t="s">
        <v>229</v>
      </c>
      <c r="G212" s="72" t="s">
        <v>239</v>
      </c>
      <c r="H212" s="73" t="s">
        <v>235</v>
      </c>
      <c r="I212" s="64"/>
      <c r="J212" s="371" t="s">
        <v>9</v>
      </c>
      <c r="K212" s="352" t="s">
        <v>230</v>
      </c>
      <c r="M212" s="74" t="s">
        <v>285</v>
      </c>
    </row>
    <row r="213" spans="1:13" x14ac:dyDescent="0.35">
      <c r="A213" s="81" t="s">
        <v>113</v>
      </c>
      <c r="B213" s="246">
        <v>755</v>
      </c>
      <c r="C213" s="246">
        <v>2512</v>
      </c>
      <c r="D213" s="246">
        <v>1977</v>
      </c>
      <c r="E213" s="246">
        <v>3200</v>
      </c>
      <c r="F213" s="275">
        <v>2600</v>
      </c>
      <c r="G213" s="301">
        <v>585</v>
      </c>
      <c r="H213" s="302">
        <v>585</v>
      </c>
      <c r="I213" s="303"/>
      <c r="J213" s="376">
        <v>3200</v>
      </c>
      <c r="K213" s="185">
        <v>510</v>
      </c>
      <c r="M213" s="304">
        <v>510</v>
      </c>
    </row>
    <row r="214" spans="1:13" ht="15" thickBot="1" x14ac:dyDescent="0.4">
      <c r="A214" s="81" t="s">
        <v>114</v>
      </c>
      <c r="B214" s="286">
        <v>0</v>
      </c>
      <c r="C214" s="286">
        <v>0</v>
      </c>
      <c r="D214" s="286">
        <v>135</v>
      </c>
      <c r="E214" s="286">
        <v>0</v>
      </c>
      <c r="F214" s="287">
        <v>2095</v>
      </c>
      <c r="G214" s="288">
        <v>0</v>
      </c>
      <c r="H214" s="289">
        <v>0</v>
      </c>
      <c r="I214" s="53"/>
      <c r="J214" s="400">
        <v>0</v>
      </c>
      <c r="K214" s="390">
        <v>0</v>
      </c>
      <c r="M214" s="290">
        <v>0</v>
      </c>
    </row>
    <row r="215" spans="1:13" ht="15" thickBot="1" x14ac:dyDescent="0.4">
      <c r="A215" s="58" t="s">
        <v>115</v>
      </c>
      <c r="B215" s="187">
        <f t="shared" ref="B215:D215" si="150">B213-B214</f>
        <v>755</v>
      </c>
      <c r="C215" s="187">
        <f t="shared" si="150"/>
        <v>2512</v>
      </c>
      <c r="D215" s="187">
        <f t="shared" si="150"/>
        <v>1842</v>
      </c>
      <c r="E215" s="187">
        <f t="shared" ref="E215:K215" si="151">E213-E214</f>
        <v>3200</v>
      </c>
      <c r="F215" s="188">
        <f t="shared" si="151"/>
        <v>505</v>
      </c>
      <c r="G215" s="189">
        <f t="shared" ref="G215" si="152">G213-G214</f>
        <v>585</v>
      </c>
      <c r="H215" s="190">
        <f t="shared" si="151"/>
        <v>585</v>
      </c>
      <c r="I215" s="100"/>
      <c r="J215" s="375">
        <f>J213-J214</f>
        <v>3200</v>
      </c>
      <c r="K215" s="385">
        <f t="shared" si="151"/>
        <v>510</v>
      </c>
      <c r="M215" s="191">
        <f t="shared" ref="M215" si="153">M213-M214</f>
        <v>510</v>
      </c>
    </row>
    <row r="216" spans="1:13" x14ac:dyDescent="0.35">
      <c r="A216" s="58"/>
      <c r="B216" s="291"/>
      <c r="C216" s="291"/>
      <c r="D216" s="291"/>
      <c r="E216" s="291"/>
      <c r="F216" s="292"/>
      <c r="G216" s="293"/>
      <c r="H216" s="294"/>
      <c r="I216" s="100"/>
      <c r="J216" s="384"/>
      <c r="K216" s="205"/>
      <c r="M216" s="295"/>
    </row>
    <row r="217" spans="1:13" x14ac:dyDescent="0.35">
      <c r="A217" s="88" t="s">
        <v>116</v>
      </c>
      <c r="B217" s="246">
        <v>6354</v>
      </c>
      <c r="C217" s="246">
        <v>9769</v>
      </c>
      <c r="D217" s="246">
        <v>7165</v>
      </c>
      <c r="E217" s="246">
        <v>10201</v>
      </c>
      <c r="F217" s="275">
        <v>7000</v>
      </c>
      <c r="G217" s="276">
        <v>183</v>
      </c>
      <c r="H217" s="277">
        <v>183</v>
      </c>
      <c r="I217" s="53"/>
      <c r="J217" s="376">
        <v>9676</v>
      </c>
      <c r="K217" s="185">
        <v>183</v>
      </c>
      <c r="M217" s="278">
        <v>183</v>
      </c>
    </row>
    <row r="218" spans="1:13" ht="15" thickBot="1" x14ac:dyDescent="0.4">
      <c r="A218" s="88" t="s">
        <v>117</v>
      </c>
      <c r="B218" s="246">
        <v>0</v>
      </c>
      <c r="C218" s="246">
        <v>764</v>
      </c>
      <c r="D218" s="246">
        <v>416</v>
      </c>
      <c r="E218" s="246">
        <v>2186</v>
      </c>
      <c r="F218" s="275">
        <v>2095</v>
      </c>
      <c r="G218" s="276">
        <v>118</v>
      </c>
      <c r="H218" s="277">
        <v>118</v>
      </c>
      <c r="I218" s="53"/>
      <c r="J218" s="376">
        <v>1538</v>
      </c>
      <c r="K218" s="185">
        <v>118</v>
      </c>
      <c r="M218" s="278">
        <v>118</v>
      </c>
    </row>
    <row r="219" spans="1:13" ht="15" thickBot="1" x14ac:dyDescent="0.4">
      <c r="A219" s="75" t="s">
        <v>118</v>
      </c>
      <c r="B219" s="187">
        <f t="shared" ref="B219:D219" si="154">B217-B218</f>
        <v>6354</v>
      </c>
      <c r="C219" s="187">
        <f t="shared" si="154"/>
        <v>9005</v>
      </c>
      <c r="D219" s="187">
        <f t="shared" si="154"/>
        <v>6749</v>
      </c>
      <c r="E219" s="187">
        <f t="shared" ref="E219:K219" si="155">E217-E218</f>
        <v>8015</v>
      </c>
      <c r="F219" s="188">
        <f t="shared" si="155"/>
        <v>4905</v>
      </c>
      <c r="G219" s="189">
        <f t="shared" ref="G219" si="156">G217-G218</f>
        <v>65</v>
      </c>
      <c r="H219" s="190">
        <f t="shared" si="155"/>
        <v>65</v>
      </c>
      <c r="I219" s="100"/>
      <c r="J219" s="375">
        <f>J217-J218</f>
        <v>8138</v>
      </c>
      <c r="K219" s="385">
        <f t="shared" si="155"/>
        <v>65</v>
      </c>
      <c r="M219" s="191">
        <f t="shared" ref="M219" si="157">M217-M218</f>
        <v>65</v>
      </c>
    </row>
    <row r="220" spans="1:13" x14ac:dyDescent="0.35">
      <c r="A220" s="81"/>
      <c r="B220" s="246"/>
      <c r="C220" s="246"/>
      <c r="D220" s="246"/>
      <c r="E220" s="246"/>
      <c r="F220" s="275"/>
      <c r="G220" s="276"/>
      <c r="H220" s="277"/>
      <c r="I220" s="53"/>
      <c r="J220" s="376"/>
      <c r="K220" s="185"/>
      <c r="M220" s="278"/>
    </row>
    <row r="221" spans="1:13" x14ac:dyDescent="0.35">
      <c r="A221" s="88" t="s">
        <v>119</v>
      </c>
      <c r="B221" s="246">
        <v>5577</v>
      </c>
      <c r="C221" s="246">
        <v>9423</v>
      </c>
      <c r="D221" s="246">
        <v>9516</v>
      </c>
      <c r="E221" s="246">
        <v>7598</v>
      </c>
      <c r="F221" s="275">
        <v>9000</v>
      </c>
      <c r="G221" s="276">
        <v>165</v>
      </c>
      <c r="H221" s="277">
        <v>165</v>
      </c>
      <c r="I221" s="53"/>
      <c r="J221" s="376">
        <v>6758</v>
      </c>
      <c r="K221" s="185">
        <v>165</v>
      </c>
      <c r="M221" s="278">
        <v>165</v>
      </c>
    </row>
    <row r="222" spans="1:13" ht="15" thickBot="1" x14ac:dyDescent="0.4">
      <c r="A222" s="88" t="s">
        <v>120</v>
      </c>
      <c r="B222" s="246">
        <v>1152</v>
      </c>
      <c r="C222" s="246">
        <v>368</v>
      </c>
      <c r="D222" s="246">
        <v>329</v>
      </c>
      <c r="E222" s="246">
        <v>380</v>
      </c>
      <c r="F222" s="275">
        <v>2095</v>
      </c>
      <c r="G222" s="276">
        <v>0</v>
      </c>
      <c r="H222" s="277">
        <v>0</v>
      </c>
      <c r="I222" s="53"/>
      <c r="J222" s="376">
        <v>380</v>
      </c>
      <c r="K222" s="185">
        <v>0</v>
      </c>
      <c r="M222" s="278">
        <v>0</v>
      </c>
    </row>
    <row r="223" spans="1:13" ht="15" thickBot="1" x14ac:dyDescent="0.4">
      <c r="A223" s="75" t="s">
        <v>121</v>
      </c>
      <c r="B223" s="187">
        <f t="shared" ref="B223:D223" si="158">B221-B222</f>
        <v>4425</v>
      </c>
      <c r="C223" s="187">
        <f t="shared" si="158"/>
        <v>9055</v>
      </c>
      <c r="D223" s="187">
        <f t="shared" si="158"/>
        <v>9187</v>
      </c>
      <c r="E223" s="187">
        <f t="shared" ref="E223:K223" si="159">E221-E222</f>
        <v>7218</v>
      </c>
      <c r="F223" s="188">
        <f t="shared" si="159"/>
        <v>6905</v>
      </c>
      <c r="G223" s="189">
        <f t="shared" ref="G223" si="160">G221-G222</f>
        <v>165</v>
      </c>
      <c r="H223" s="190">
        <f t="shared" si="159"/>
        <v>165</v>
      </c>
      <c r="I223" s="100"/>
      <c r="J223" s="375">
        <f>J221-J222</f>
        <v>6378</v>
      </c>
      <c r="K223" s="385">
        <f t="shared" si="159"/>
        <v>165</v>
      </c>
      <c r="M223" s="191">
        <f t="shared" ref="M223" si="161">M221-M222</f>
        <v>165</v>
      </c>
    </row>
    <row r="224" spans="1:13" x14ac:dyDescent="0.35">
      <c r="A224" s="75"/>
      <c r="B224" s="291"/>
      <c r="C224" s="291"/>
      <c r="D224" s="291"/>
      <c r="E224" s="291"/>
      <c r="F224" s="292"/>
      <c r="G224" s="293"/>
      <c r="H224" s="294"/>
      <c r="I224" s="100"/>
      <c r="J224" s="384"/>
      <c r="K224" s="205"/>
      <c r="M224" s="295"/>
    </row>
    <row r="225" spans="1:13" x14ac:dyDescent="0.35">
      <c r="A225" s="75" t="s">
        <v>122</v>
      </c>
      <c r="B225" s="291"/>
      <c r="C225" s="291"/>
      <c r="D225" s="291"/>
      <c r="E225" s="291"/>
      <c r="F225" s="292"/>
      <c r="G225" s="293"/>
      <c r="H225" s="294"/>
      <c r="I225" s="100"/>
      <c r="J225" s="384"/>
      <c r="K225" s="205"/>
      <c r="M225" s="295"/>
    </row>
    <row r="226" spans="1:13" x14ac:dyDescent="0.35">
      <c r="A226" s="88" t="s">
        <v>123</v>
      </c>
      <c r="B226" s="246">
        <f t="shared" ref="B226:K227" si="162">SUM(B213,B217,B221)</f>
        <v>12686</v>
      </c>
      <c r="C226" s="246">
        <f t="shared" si="162"/>
        <v>21704</v>
      </c>
      <c r="D226" s="246">
        <f t="shared" si="162"/>
        <v>18658</v>
      </c>
      <c r="E226" s="246">
        <f t="shared" ref="E226" si="163">SUM(E213,E217,E221)</f>
        <v>20999</v>
      </c>
      <c r="F226" s="275">
        <f t="shared" si="162"/>
        <v>18600</v>
      </c>
      <c r="G226" s="276">
        <f t="shared" ref="G226" si="164">SUM(G213, G217, G221)</f>
        <v>933</v>
      </c>
      <c r="H226" s="277">
        <f t="shared" ref="H226:H227" si="165">SUM(H213, H217, H221)</f>
        <v>933</v>
      </c>
      <c r="I226" s="53"/>
      <c r="J226" s="376">
        <f>SUM(J213,J217,J221)</f>
        <v>19634</v>
      </c>
      <c r="K226" s="185">
        <f t="shared" si="162"/>
        <v>858</v>
      </c>
      <c r="M226" s="278">
        <f t="shared" ref="M226" si="166">SUM(M213, M217, M221)</f>
        <v>858</v>
      </c>
    </row>
    <row r="227" spans="1:13" x14ac:dyDescent="0.35">
      <c r="A227" s="88" t="s">
        <v>124</v>
      </c>
      <c r="B227" s="246">
        <f t="shared" si="162"/>
        <v>1152</v>
      </c>
      <c r="C227" s="246">
        <f t="shared" si="162"/>
        <v>1132</v>
      </c>
      <c r="D227" s="246">
        <f t="shared" si="162"/>
        <v>880</v>
      </c>
      <c r="E227" s="246">
        <f t="shared" ref="E227" si="167">SUM(E214,E218,E222)</f>
        <v>2566</v>
      </c>
      <c r="F227" s="275">
        <f t="shared" si="162"/>
        <v>6285</v>
      </c>
      <c r="G227" s="276">
        <f t="shared" ref="G227" si="168">SUM(G214, G218, G222)</f>
        <v>118</v>
      </c>
      <c r="H227" s="277">
        <f t="shared" si="165"/>
        <v>118</v>
      </c>
      <c r="I227" s="53"/>
      <c r="J227" s="376">
        <f>SUM(J214,J218,J222)</f>
        <v>1918</v>
      </c>
      <c r="K227" s="185">
        <f t="shared" si="162"/>
        <v>118</v>
      </c>
      <c r="M227" s="278">
        <f t="shared" ref="M227" si="169">SUM(M214, M218, M222)</f>
        <v>118</v>
      </c>
    </row>
    <row r="228" spans="1:13" ht="15" thickBot="1" x14ac:dyDescent="0.4">
      <c r="A228" s="88" t="s">
        <v>74</v>
      </c>
      <c r="B228" s="246">
        <v>0</v>
      </c>
      <c r="C228" s="246">
        <v>0</v>
      </c>
      <c r="D228" s="246">
        <v>0</v>
      </c>
      <c r="E228" s="246">
        <v>0</v>
      </c>
      <c r="F228" s="275">
        <v>0</v>
      </c>
      <c r="G228" s="276">
        <v>0</v>
      </c>
      <c r="H228" s="277">
        <v>0</v>
      </c>
      <c r="I228" s="53"/>
      <c r="J228" s="376">
        <v>0</v>
      </c>
      <c r="K228" s="185">
        <v>0</v>
      </c>
      <c r="M228" s="278">
        <v>0</v>
      </c>
    </row>
    <row r="229" spans="1:13" ht="15" thickBot="1" x14ac:dyDescent="0.4">
      <c r="A229" s="75" t="s">
        <v>125</v>
      </c>
      <c r="B229" s="187">
        <f t="shared" ref="B229:K229" si="170">SUM(B226-B227-B228)</f>
        <v>11534</v>
      </c>
      <c r="C229" s="187">
        <f t="shared" si="170"/>
        <v>20572</v>
      </c>
      <c r="D229" s="187">
        <f t="shared" ref="D229:F229" si="171">SUM(D226-D227-D228)</f>
        <v>17778</v>
      </c>
      <c r="E229" s="187">
        <f t="shared" si="171"/>
        <v>18433</v>
      </c>
      <c r="F229" s="188">
        <f t="shared" si="171"/>
        <v>12315</v>
      </c>
      <c r="G229" s="189">
        <f>SUM(G226-G227-G228)</f>
        <v>815</v>
      </c>
      <c r="H229" s="190">
        <f>SUM(H226-H227-H228)</f>
        <v>815</v>
      </c>
      <c r="I229" s="100"/>
      <c r="J229" s="375">
        <f>SUM(J226-J227-J228)</f>
        <v>17716</v>
      </c>
      <c r="K229" s="385">
        <f t="shared" si="170"/>
        <v>740</v>
      </c>
      <c r="M229" s="191">
        <f>SUM(M226-M227-M228)</f>
        <v>740</v>
      </c>
    </row>
    <row r="230" spans="1:13" x14ac:dyDescent="0.35">
      <c r="A230" s="75"/>
      <c r="B230" s="100"/>
      <c r="C230" s="100"/>
      <c r="D230" s="100"/>
      <c r="E230" s="100"/>
      <c r="F230" s="100"/>
      <c r="G230" s="203"/>
      <c r="H230" s="204"/>
      <c r="I230" s="100"/>
      <c r="J230" s="149"/>
      <c r="K230" s="100"/>
      <c r="M230" s="305"/>
    </row>
    <row r="231" spans="1:13" ht="15" thickBot="1" x14ac:dyDescent="0.4">
      <c r="A231" s="95"/>
      <c r="B231" s="272"/>
      <c r="C231" s="272"/>
      <c r="D231" s="272"/>
      <c r="E231" s="272"/>
      <c r="F231" s="272"/>
      <c r="G231" s="273"/>
      <c r="H231" s="204"/>
      <c r="I231" s="100"/>
      <c r="J231" s="399"/>
      <c r="K231" s="272"/>
      <c r="M231" s="274"/>
    </row>
    <row r="232" spans="1:13" x14ac:dyDescent="0.35">
      <c r="A232" s="306" t="s">
        <v>290</v>
      </c>
      <c r="B232" s="59"/>
      <c r="C232" s="60"/>
      <c r="D232" s="60"/>
      <c r="E232" s="61"/>
      <c r="F232" s="175" t="s">
        <v>215</v>
      </c>
      <c r="G232" s="62" t="s">
        <v>237</v>
      </c>
      <c r="H232" s="63" t="s">
        <v>238</v>
      </c>
      <c r="I232" s="64"/>
      <c r="J232" s="395" t="s">
        <v>217</v>
      </c>
      <c r="K232" s="350" t="s">
        <v>283</v>
      </c>
      <c r="M232" s="65" t="s">
        <v>270</v>
      </c>
    </row>
    <row r="233" spans="1:13" x14ac:dyDescent="0.35">
      <c r="A233" s="133"/>
      <c r="B233" s="66" t="s">
        <v>2</v>
      </c>
      <c r="C233" s="67" t="s">
        <v>1</v>
      </c>
      <c r="D233" s="67" t="s">
        <v>1</v>
      </c>
      <c r="E233" s="66" t="s">
        <v>1</v>
      </c>
      <c r="F233" s="176" t="s">
        <v>3</v>
      </c>
      <c r="G233" s="68" t="s">
        <v>234</v>
      </c>
      <c r="H233" s="69" t="s">
        <v>5</v>
      </c>
      <c r="I233" s="64"/>
      <c r="J233" s="370" t="s">
        <v>216</v>
      </c>
      <c r="K233" s="351" t="s">
        <v>4</v>
      </c>
      <c r="M233" s="70" t="s">
        <v>5</v>
      </c>
    </row>
    <row r="234" spans="1:13" ht="15" thickBot="1" x14ac:dyDescent="0.4">
      <c r="A234" s="307"/>
      <c r="B234" s="300" t="s">
        <v>6</v>
      </c>
      <c r="C234" s="71" t="s">
        <v>7</v>
      </c>
      <c r="D234" s="71" t="s">
        <v>8</v>
      </c>
      <c r="E234" s="71" t="s">
        <v>9</v>
      </c>
      <c r="F234" s="177" t="s">
        <v>229</v>
      </c>
      <c r="G234" s="72" t="s">
        <v>239</v>
      </c>
      <c r="H234" s="73" t="s">
        <v>235</v>
      </c>
      <c r="I234" s="64"/>
      <c r="J234" s="371" t="s">
        <v>9</v>
      </c>
      <c r="K234" s="352" t="s">
        <v>230</v>
      </c>
      <c r="M234" s="74" t="s">
        <v>285</v>
      </c>
    </row>
    <row r="235" spans="1:13" x14ac:dyDescent="0.35">
      <c r="A235" s="88" t="s">
        <v>126</v>
      </c>
      <c r="B235" s="238">
        <v>-5714</v>
      </c>
      <c r="C235" s="238">
        <v>-6660</v>
      </c>
      <c r="D235" s="238">
        <v>-7640</v>
      </c>
      <c r="E235" s="238">
        <v>-6685</v>
      </c>
      <c r="F235" s="308">
        <v>-7300</v>
      </c>
      <c r="G235" s="84">
        <v>-7300</v>
      </c>
      <c r="H235" s="85">
        <v>-7300</v>
      </c>
      <c r="I235" s="86"/>
      <c r="J235" s="396">
        <v>-6608</v>
      </c>
      <c r="K235" s="391">
        <v>-6039</v>
      </c>
      <c r="M235" s="87">
        <v>-7500</v>
      </c>
    </row>
    <row r="236" spans="1:13" x14ac:dyDescent="0.35">
      <c r="A236" s="88" t="s">
        <v>127</v>
      </c>
      <c r="B236" s="246">
        <v>-812</v>
      </c>
      <c r="C236" s="246">
        <v>-964</v>
      </c>
      <c r="D236" s="246">
        <v>-1167</v>
      </c>
      <c r="E236" s="246">
        <v>-1271</v>
      </c>
      <c r="F236" s="275">
        <v>-1300</v>
      </c>
      <c r="G236" s="276">
        <v>-1300</v>
      </c>
      <c r="H236" s="277">
        <v>-1300</v>
      </c>
      <c r="I236" s="53"/>
      <c r="J236" s="376">
        <v>-1067</v>
      </c>
      <c r="K236" s="185">
        <v>-986</v>
      </c>
      <c r="M236" s="278">
        <v>-1182</v>
      </c>
    </row>
    <row r="237" spans="1:13" x14ac:dyDescent="0.35">
      <c r="A237" s="309" t="s">
        <v>128</v>
      </c>
      <c r="B237" s="246">
        <v>-3000</v>
      </c>
      <c r="C237" s="246">
        <v>-3000</v>
      </c>
      <c r="D237" s="246">
        <v>-3000</v>
      </c>
      <c r="E237" s="246">
        <v>-3000</v>
      </c>
      <c r="F237" s="275">
        <v>-3200</v>
      </c>
      <c r="G237" s="276">
        <v>-3000</v>
      </c>
      <c r="H237" s="277">
        <v>-2000</v>
      </c>
      <c r="I237" s="53"/>
      <c r="J237" s="376">
        <v>-2750</v>
      </c>
      <c r="K237" s="185">
        <v>-3297</v>
      </c>
      <c r="M237" s="278">
        <v>-3297</v>
      </c>
    </row>
    <row r="238" spans="1:13" x14ac:dyDescent="0.35">
      <c r="A238" s="88" t="s">
        <v>129</v>
      </c>
      <c r="B238" s="246">
        <v>-405</v>
      </c>
      <c r="C238" s="246">
        <v>-370</v>
      </c>
      <c r="D238" s="246">
        <v>0</v>
      </c>
      <c r="E238" s="246">
        <v>0</v>
      </c>
      <c r="F238" s="275">
        <v>0</v>
      </c>
      <c r="G238" s="276">
        <v>0</v>
      </c>
      <c r="H238" s="277">
        <v>0</v>
      </c>
      <c r="I238" s="53"/>
      <c r="J238" s="376">
        <v>0</v>
      </c>
      <c r="K238" s="185">
        <v>0</v>
      </c>
      <c r="M238" s="278">
        <v>0</v>
      </c>
    </row>
    <row r="239" spans="1:13" x14ac:dyDescent="0.35">
      <c r="A239" s="88" t="s">
        <v>130</v>
      </c>
      <c r="B239" s="246">
        <v>-4546</v>
      </c>
      <c r="C239" s="246">
        <v>-3932</v>
      </c>
      <c r="D239" s="246">
        <v>-3927</v>
      </c>
      <c r="E239" s="246">
        <v>-4109</v>
      </c>
      <c r="F239" s="275">
        <v>-4000</v>
      </c>
      <c r="G239" s="276">
        <v>-4000</v>
      </c>
      <c r="H239" s="277">
        <v>-3000</v>
      </c>
      <c r="I239" s="53"/>
      <c r="J239" s="376">
        <v>-3138</v>
      </c>
      <c r="K239" s="185">
        <v>-3362</v>
      </c>
      <c r="M239" s="278">
        <v>-3500</v>
      </c>
    </row>
    <row r="240" spans="1:13" x14ac:dyDescent="0.35">
      <c r="A240" s="81" t="s">
        <v>131</v>
      </c>
      <c r="B240" s="246">
        <v>-1851</v>
      </c>
      <c r="C240" s="246">
        <v>-1489</v>
      </c>
      <c r="D240" s="246">
        <v>-2599</v>
      </c>
      <c r="E240" s="246">
        <v>-1719</v>
      </c>
      <c r="F240" s="275">
        <v>-2000</v>
      </c>
      <c r="G240" s="276">
        <v>-2000</v>
      </c>
      <c r="H240" s="277">
        <v>-2000</v>
      </c>
      <c r="I240" s="53"/>
      <c r="J240" s="376">
        <v>-1583</v>
      </c>
      <c r="K240" s="185">
        <v>-2197</v>
      </c>
      <c r="M240" s="278">
        <v>-2340</v>
      </c>
    </row>
    <row r="241" spans="1:13" x14ac:dyDescent="0.35">
      <c r="A241" s="81" t="s">
        <v>132</v>
      </c>
      <c r="B241" s="246">
        <v>-3478</v>
      </c>
      <c r="C241" s="246">
        <v>-1503</v>
      </c>
      <c r="D241" s="246">
        <v>-2830</v>
      </c>
      <c r="E241" s="246">
        <v>-2061</v>
      </c>
      <c r="F241" s="275">
        <v>-2500</v>
      </c>
      <c r="G241" s="276">
        <v>-800</v>
      </c>
      <c r="H241" s="277">
        <v>-500</v>
      </c>
      <c r="I241" s="53"/>
      <c r="J241" s="376">
        <v>-1618</v>
      </c>
      <c r="K241" s="185">
        <v>-475</v>
      </c>
      <c r="M241" s="278">
        <v>-1700</v>
      </c>
    </row>
    <row r="242" spans="1:13" x14ac:dyDescent="0.35">
      <c r="A242" s="81" t="s">
        <v>133</v>
      </c>
      <c r="B242" s="246">
        <v>-2019</v>
      </c>
      <c r="C242" s="246">
        <v>-6735</v>
      </c>
      <c r="D242" s="246">
        <v>-7779</v>
      </c>
      <c r="E242" s="246">
        <v>-2115</v>
      </c>
      <c r="F242" s="275">
        <v>-4000</v>
      </c>
      <c r="G242" s="276">
        <v>-200</v>
      </c>
      <c r="H242" s="277">
        <v>0</v>
      </c>
      <c r="I242" s="53"/>
      <c r="J242" s="376">
        <v>-1056</v>
      </c>
      <c r="K242" s="185">
        <v>-1796</v>
      </c>
      <c r="M242" s="278">
        <v>-1796</v>
      </c>
    </row>
    <row r="243" spans="1:13" x14ac:dyDescent="0.35">
      <c r="A243" s="88" t="s">
        <v>134</v>
      </c>
      <c r="B243" s="246">
        <v>-3415</v>
      </c>
      <c r="C243" s="246">
        <v>-4171</v>
      </c>
      <c r="D243" s="246">
        <v>-4640</v>
      </c>
      <c r="E243" s="246">
        <v>-2586</v>
      </c>
      <c r="F243" s="275">
        <v>-2000</v>
      </c>
      <c r="G243" s="276">
        <v>-500</v>
      </c>
      <c r="H243" s="277">
        <v>0</v>
      </c>
      <c r="I243" s="53"/>
      <c r="J243" s="376">
        <v>-958</v>
      </c>
      <c r="K243" s="185">
        <v>-501</v>
      </c>
      <c r="M243" s="278">
        <v>-501</v>
      </c>
    </row>
    <row r="244" spans="1:13" x14ac:dyDescent="0.35">
      <c r="A244" s="81" t="s">
        <v>135</v>
      </c>
      <c r="B244" s="246">
        <v>-742</v>
      </c>
      <c r="C244" s="246">
        <v>-1109</v>
      </c>
      <c r="D244" s="246">
        <v>-2150</v>
      </c>
      <c r="E244" s="246">
        <v>-1428</v>
      </c>
      <c r="F244" s="275">
        <v>-2000</v>
      </c>
      <c r="G244" s="276">
        <v>-2000</v>
      </c>
      <c r="H244" s="277">
        <v>-1500</v>
      </c>
      <c r="I244" s="53"/>
      <c r="J244" s="376">
        <v>-1237</v>
      </c>
      <c r="K244" s="185">
        <v>-1773</v>
      </c>
      <c r="M244" s="278">
        <v>-2100</v>
      </c>
    </row>
    <row r="245" spans="1:13" ht="15" thickBot="1" x14ac:dyDescent="0.4">
      <c r="A245" s="81" t="s">
        <v>136</v>
      </c>
      <c r="B245" s="246">
        <v>-21382</v>
      </c>
      <c r="C245" s="246">
        <v>-16746</v>
      </c>
      <c r="D245" s="246">
        <v>-21772</v>
      </c>
      <c r="E245" s="246">
        <v>-30881</v>
      </c>
      <c r="F245" s="275">
        <v>-30000</v>
      </c>
      <c r="G245" s="276">
        <v>0</v>
      </c>
      <c r="H245" s="277">
        <v>0</v>
      </c>
      <c r="I245" s="53"/>
      <c r="J245" s="376">
        <v>-27101</v>
      </c>
      <c r="K245" s="185">
        <v>-1008</v>
      </c>
      <c r="M245" s="278">
        <v>-1008</v>
      </c>
    </row>
    <row r="246" spans="1:13" ht="15" thickBot="1" x14ac:dyDescent="0.4">
      <c r="A246" s="310" t="s">
        <v>137</v>
      </c>
      <c r="B246" s="311">
        <f t="shared" ref="B246:C246" si="172">SUM(B235:B245)</f>
        <v>-47364</v>
      </c>
      <c r="C246" s="311">
        <f t="shared" si="172"/>
        <v>-46679</v>
      </c>
      <c r="D246" s="311">
        <f t="shared" ref="D246" si="173">SUM(D235:D245)</f>
        <v>-57504</v>
      </c>
      <c r="E246" s="311">
        <f t="shared" ref="E246:K246" si="174">SUM(E235:E245)</f>
        <v>-55855</v>
      </c>
      <c r="F246" s="312">
        <f t="shared" si="174"/>
        <v>-58300</v>
      </c>
      <c r="G246" s="313">
        <f>SUM(G235:G245)</f>
        <v>-21100</v>
      </c>
      <c r="H246" s="264">
        <f t="shared" si="174"/>
        <v>-17600</v>
      </c>
      <c r="I246" s="113"/>
      <c r="J246" s="377">
        <f>SUM(J235:J245)</f>
        <v>-47116</v>
      </c>
      <c r="K246" s="366">
        <f t="shared" si="174"/>
        <v>-21434</v>
      </c>
      <c r="M246" s="314">
        <f>SUM(M235:M245)</f>
        <v>-24924</v>
      </c>
    </row>
    <row r="247" spans="1:13" x14ac:dyDescent="0.35">
      <c r="A247" s="255"/>
      <c r="B247" s="113"/>
      <c r="C247" s="113"/>
      <c r="D247" s="113"/>
      <c r="E247" s="113"/>
      <c r="F247" s="113"/>
      <c r="G247" s="169"/>
      <c r="H247" s="170"/>
      <c r="I247" s="113"/>
      <c r="J247" s="134"/>
      <c r="K247" s="113"/>
      <c r="M247" s="408"/>
    </row>
    <row r="248" spans="1:13" x14ac:dyDescent="0.35">
      <c r="A248" s="81"/>
      <c r="B248" s="315"/>
      <c r="C248" s="315"/>
      <c r="D248" s="315"/>
      <c r="E248" s="315"/>
      <c r="F248" s="315"/>
      <c r="G248" s="316"/>
      <c r="H248" s="173"/>
      <c r="I248" s="53"/>
      <c r="J248" s="401"/>
      <c r="K248" s="315"/>
      <c r="M248" s="409"/>
    </row>
    <row r="249" spans="1:13" ht="15" thickBot="1" x14ac:dyDescent="0.4">
      <c r="A249" s="75" t="s">
        <v>138</v>
      </c>
      <c r="B249" s="52"/>
      <c r="C249" s="52"/>
      <c r="D249" s="52"/>
      <c r="E249" s="52"/>
      <c r="F249" s="52"/>
      <c r="G249" s="172"/>
      <c r="H249" s="173"/>
      <c r="I249" s="53"/>
      <c r="J249" s="103"/>
      <c r="K249" s="52"/>
      <c r="M249" s="410"/>
    </row>
    <row r="250" spans="1:13" ht="15" thickTop="1" x14ac:dyDescent="0.35">
      <c r="A250" s="318"/>
      <c r="B250" s="59"/>
      <c r="C250" s="60"/>
      <c r="D250" s="60"/>
      <c r="E250" s="61"/>
      <c r="F250" s="175" t="s">
        <v>215</v>
      </c>
      <c r="G250" s="62" t="s">
        <v>237</v>
      </c>
      <c r="H250" s="63" t="s">
        <v>238</v>
      </c>
      <c r="I250" s="64"/>
      <c r="J250" s="395" t="s">
        <v>217</v>
      </c>
      <c r="K250" s="350" t="s">
        <v>283</v>
      </c>
      <c r="M250" s="65" t="s">
        <v>270</v>
      </c>
    </row>
    <row r="251" spans="1:13" x14ac:dyDescent="0.35">
      <c r="A251" s="102"/>
      <c r="B251" s="66" t="s">
        <v>2</v>
      </c>
      <c r="C251" s="67" t="s">
        <v>1</v>
      </c>
      <c r="D251" s="67" t="s">
        <v>1</v>
      </c>
      <c r="E251" s="66" t="s">
        <v>1</v>
      </c>
      <c r="F251" s="176" t="s">
        <v>3</v>
      </c>
      <c r="G251" s="68" t="s">
        <v>234</v>
      </c>
      <c r="H251" s="69" t="s">
        <v>5</v>
      </c>
      <c r="I251" s="64"/>
      <c r="J251" s="370" t="s">
        <v>216</v>
      </c>
      <c r="K251" s="351" t="s">
        <v>4</v>
      </c>
      <c r="M251" s="70" t="s">
        <v>5</v>
      </c>
    </row>
    <row r="252" spans="1:13" ht="15" thickBot="1" x14ac:dyDescent="0.4">
      <c r="A252" s="307"/>
      <c r="B252" s="300" t="s">
        <v>6</v>
      </c>
      <c r="C252" s="71" t="s">
        <v>7</v>
      </c>
      <c r="D252" s="71" t="s">
        <v>8</v>
      </c>
      <c r="E252" s="71" t="s">
        <v>9</v>
      </c>
      <c r="F252" s="177" t="s">
        <v>229</v>
      </c>
      <c r="G252" s="72" t="s">
        <v>239</v>
      </c>
      <c r="H252" s="73" t="s">
        <v>235</v>
      </c>
      <c r="I252" s="64"/>
      <c r="J252" s="371" t="s">
        <v>9</v>
      </c>
      <c r="K252" s="352" t="s">
        <v>230</v>
      </c>
      <c r="M252" s="74" t="s">
        <v>285</v>
      </c>
    </row>
    <row r="253" spans="1:13" x14ac:dyDescent="0.35">
      <c r="A253" s="88" t="s">
        <v>227</v>
      </c>
      <c r="B253" s="246">
        <v>-4872</v>
      </c>
      <c r="C253" s="246">
        <v>-4489</v>
      </c>
      <c r="D253" s="246">
        <v>-4101</v>
      </c>
      <c r="E253" s="246">
        <v>-6124</v>
      </c>
      <c r="F253" s="275">
        <v>-6000</v>
      </c>
      <c r="G253" s="84">
        <v>-6000</v>
      </c>
      <c r="H253" s="85">
        <v>-4000</v>
      </c>
      <c r="I253" s="86"/>
      <c r="J253" s="376">
        <v>-5554</v>
      </c>
      <c r="K253" s="185">
        <v>-5183</v>
      </c>
      <c r="M253" s="87">
        <v>-5885</v>
      </c>
    </row>
    <row r="254" spans="1:13" x14ac:dyDescent="0.35">
      <c r="A254" s="88" t="s">
        <v>139</v>
      </c>
      <c r="B254" s="246">
        <v>-8850</v>
      </c>
      <c r="C254" s="246">
        <v>-9300</v>
      </c>
      <c r="D254" s="246">
        <v>-9900</v>
      </c>
      <c r="E254" s="246">
        <v>-10300</v>
      </c>
      <c r="F254" s="275">
        <v>-11000</v>
      </c>
      <c r="G254" s="276">
        <v>-11000</v>
      </c>
      <c r="H254" s="277">
        <v>-11000</v>
      </c>
      <c r="I254" s="53"/>
      <c r="J254" s="376">
        <v>-10300</v>
      </c>
      <c r="K254" s="185">
        <v>-11000</v>
      </c>
      <c r="M254" s="278">
        <v>-11000</v>
      </c>
    </row>
    <row r="255" spans="1:13" x14ac:dyDescent="0.35">
      <c r="A255" s="88" t="s">
        <v>140</v>
      </c>
      <c r="B255" s="246">
        <v>-3103</v>
      </c>
      <c r="C255" s="246">
        <v>-2549</v>
      </c>
      <c r="D255" s="246">
        <v>-2329</v>
      </c>
      <c r="E255" s="246">
        <v>-1694</v>
      </c>
      <c r="F255" s="275">
        <v>-1600</v>
      </c>
      <c r="G255" s="276">
        <v>-1000</v>
      </c>
      <c r="H255" s="277">
        <v>-500</v>
      </c>
      <c r="I255" s="53"/>
      <c r="J255" s="376">
        <v>-1502</v>
      </c>
      <c r="K255" s="185">
        <v>-196</v>
      </c>
      <c r="M255" s="278">
        <v>-196</v>
      </c>
    </row>
    <row r="256" spans="1:13" x14ac:dyDescent="0.35">
      <c r="A256" s="309" t="s">
        <v>141</v>
      </c>
      <c r="B256" s="246">
        <v>-718</v>
      </c>
      <c r="C256" s="246">
        <v>-669</v>
      </c>
      <c r="D256" s="246">
        <v>-837</v>
      </c>
      <c r="E256" s="246">
        <v>-976</v>
      </c>
      <c r="F256" s="275">
        <v>-1000</v>
      </c>
      <c r="G256" s="276">
        <v>-1000</v>
      </c>
      <c r="H256" s="277">
        <v>-1000</v>
      </c>
      <c r="I256" s="53"/>
      <c r="J256" s="376">
        <v>-900</v>
      </c>
      <c r="K256" s="185">
        <v>-930</v>
      </c>
      <c r="M256" s="278">
        <v>-1005</v>
      </c>
    </row>
    <row r="257" spans="1:13" x14ac:dyDescent="0.35">
      <c r="A257" s="88" t="s">
        <v>142</v>
      </c>
      <c r="B257" s="246">
        <v>-5095</v>
      </c>
      <c r="C257" s="246">
        <v>-7102</v>
      </c>
      <c r="D257" s="246">
        <v>-7703</v>
      </c>
      <c r="E257" s="246">
        <v>-7650</v>
      </c>
      <c r="F257" s="275">
        <v>-7700</v>
      </c>
      <c r="G257" s="276">
        <v>-7700</v>
      </c>
      <c r="H257" s="277">
        <v>-4900</v>
      </c>
      <c r="I257" s="53"/>
      <c r="J257" s="376">
        <v>-7019</v>
      </c>
      <c r="K257" s="185">
        <v>-7994</v>
      </c>
      <c r="M257" s="278">
        <v>-9350</v>
      </c>
    </row>
    <row r="258" spans="1:13" x14ac:dyDescent="0.35">
      <c r="A258" s="88" t="s">
        <v>143</v>
      </c>
      <c r="B258" s="246">
        <v>-1374</v>
      </c>
      <c r="C258" s="246">
        <v>-1599</v>
      </c>
      <c r="D258" s="246">
        <v>-11134</v>
      </c>
      <c r="E258" s="246">
        <v>-48744</v>
      </c>
      <c r="F258" s="275">
        <v>-52000</v>
      </c>
      <c r="G258" s="276">
        <v>-18000</v>
      </c>
      <c r="H258" s="277">
        <v>-15000</v>
      </c>
      <c r="I258" s="53"/>
      <c r="J258" s="376">
        <v>-37836</v>
      </c>
      <c r="K258" s="185">
        <v>-26888</v>
      </c>
      <c r="M258" s="278">
        <v>-28991</v>
      </c>
    </row>
    <row r="259" spans="1:13" x14ac:dyDescent="0.35">
      <c r="A259" s="88" t="s">
        <v>144</v>
      </c>
      <c r="B259" s="246">
        <v>-24025</v>
      </c>
      <c r="C259" s="246">
        <v>-24268</v>
      </c>
      <c r="D259" s="246">
        <v>-26936</v>
      </c>
      <c r="E259" s="246">
        <v>0</v>
      </c>
      <c r="F259" s="275">
        <v>0</v>
      </c>
      <c r="G259" s="276">
        <v>0</v>
      </c>
      <c r="H259" s="277">
        <v>0</v>
      </c>
      <c r="I259" s="53"/>
      <c r="J259" s="376">
        <v>0</v>
      </c>
      <c r="K259" s="185">
        <v>0</v>
      </c>
      <c r="M259" s="278">
        <v>0</v>
      </c>
    </row>
    <row r="260" spans="1:13" x14ac:dyDescent="0.35">
      <c r="A260" s="88" t="s">
        <v>145</v>
      </c>
      <c r="B260" s="246">
        <v>-2664</v>
      </c>
      <c r="C260" s="246">
        <v>-4187</v>
      </c>
      <c r="D260" s="246">
        <v>-3368</v>
      </c>
      <c r="E260" s="246">
        <v>-4110</v>
      </c>
      <c r="F260" s="275">
        <v>-4000</v>
      </c>
      <c r="G260" s="276">
        <v>0</v>
      </c>
      <c r="H260" s="277">
        <v>0</v>
      </c>
      <c r="I260" s="53"/>
      <c r="J260" s="376">
        <v>-3741</v>
      </c>
      <c r="K260" s="185">
        <v>0</v>
      </c>
      <c r="M260" s="278">
        <v>-317</v>
      </c>
    </row>
    <row r="261" spans="1:13" x14ac:dyDescent="0.35">
      <c r="A261" s="88" t="s">
        <v>146</v>
      </c>
      <c r="B261" s="246">
        <v>-724</v>
      </c>
      <c r="C261" s="246">
        <v>-847</v>
      </c>
      <c r="D261" s="246">
        <v>-980</v>
      </c>
      <c r="E261" s="246">
        <v>-1327</v>
      </c>
      <c r="F261" s="275">
        <v>-1200</v>
      </c>
      <c r="G261" s="276">
        <v>-200</v>
      </c>
      <c r="H261" s="277">
        <v>0</v>
      </c>
      <c r="I261" s="53"/>
      <c r="J261" s="376">
        <v>-1248</v>
      </c>
      <c r="K261" s="185">
        <v>-392</v>
      </c>
      <c r="M261" s="278">
        <v>-392</v>
      </c>
    </row>
    <row r="262" spans="1:13" x14ac:dyDescent="0.35">
      <c r="A262" s="88" t="s">
        <v>147</v>
      </c>
      <c r="B262" s="246">
        <v>-6406</v>
      </c>
      <c r="C262" s="246">
        <v>-3332</v>
      </c>
      <c r="D262" s="246">
        <v>-5256</v>
      </c>
      <c r="E262" s="246">
        <v>-3955</v>
      </c>
      <c r="F262" s="275">
        <v>-3750</v>
      </c>
      <c r="G262" s="276">
        <v>-1000</v>
      </c>
      <c r="H262" s="277">
        <v>-500</v>
      </c>
      <c r="I262" s="53"/>
      <c r="J262" s="376">
        <v>-3725</v>
      </c>
      <c r="K262" s="185">
        <v>-274</v>
      </c>
      <c r="M262" s="278">
        <v>-400</v>
      </c>
    </row>
    <row r="263" spans="1:13" x14ac:dyDescent="0.35">
      <c r="A263" s="88" t="s">
        <v>148</v>
      </c>
      <c r="B263" s="246">
        <v>-23588</v>
      </c>
      <c r="C263" s="246">
        <v>-24354</v>
      </c>
      <c r="D263" s="246">
        <v>-23453</v>
      </c>
      <c r="E263" s="246">
        <v>-27399</v>
      </c>
      <c r="F263" s="275">
        <v>-27000</v>
      </c>
      <c r="G263" s="276">
        <v>-11000</v>
      </c>
      <c r="H263" s="277">
        <v>-10000</v>
      </c>
      <c r="I263" s="53"/>
      <c r="J263" s="376">
        <v>-25192</v>
      </c>
      <c r="K263" s="185">
        <v>-20816</v>
      </c>
      <c r="M263" s="278">
        <v>-22900</v>
      </c>
    </row>
    <row r="264" spans="1:13" x14ac:dyDescent="0.35">
      <c r="A264" s="88" t="s">
        <v>149</v>
      </c>
      <c r="B264" s="246">
        <v>-8028</v>
      </c>
      <c r="C264" s="246">
        <v>-6803</v>
      </c>
      <c r="D264" s="246">
        <v>-6890</v>
      </c>
      <c r="E264" s="246">
        <v>-3835</v>
      </c>
      <c r="F264" s="275">
        <v>-6200</v>
      </c>
      <c r="G264" s="276">
        <v>-2000</v>
      </c>
      <c r="H264" s="277">
        <v>-1500</v>
      </c>
      <c r="I264" s="53"/>
      <c r="J264" s="376">
        <v>-2919</v>
      </c>
      <c r="K264" s="185">
        <v>-1298</v>
      </c>
      <c r="M264" s="278">
        <v>-1500</v>
      </c>
    </row>
    <row r="265" spans="1:13" x14ac:dyDescent="0.35">
      <c r="A265" s="88" t="s">
        <v>150</v>
      </c>
      <c r="B265" s="246">
        <v>-2450</v>
      </c>
      <c r="C265" s="246">
        <v>-7850</v>
      </c>
      <c r="D265" s="246">
        <v>-7125</v>
      </c>
      <c r="E265" s="246">
        <v>-2950</v>
      </c>
      <c r="F265" s="275">
        <v>-3000</v>
      </c>
      <c r="G265" s="276">
        <v>-2000</v>
      </c>
      <c r="H265" s="277">
        <v>-2000</v>
      </c>
      <c r="I265" s="53"/>
      <c r="J265" s="376">
        <v>-2950</v>
      </c>
      <c r="K265" s="185">
        <v>-2575</v>
      </c>
      <c r="M265" s="278">
        <v>-2575</v>
      </c>
    </row>
    <row r="266" spans="1:13" x14ac:dyDescent="0.35">
      <c r="A266" s="88" t="s">
        <v>151</v>
      </c>
      <c r="B266" s="246">
        <v>-11382</v>
      </c>
      <c r="C266" s="246">
        <v>-7085</v>
      </c>
      <c r="D266" s="246">
        <v>-9270</v>
      </c>
      <c r="E266" s="246">
        <v>-9618</v>
      </c>
      <c r="F266" s="275">
        <v>-12000</v>
      </c>
      <c r="G266" s="276">
        <v>-4000</v>
      </c>
      <c r="H266" s="277">
        <v>-4000</v>
      </c>
      <c r="I266" s="53"/>
      <c r="J266" s="376">
        <v>-7531</v>
      </c>
      <c r="K266" s="185">
        <v>-3406</v>
      </c>
      <c r="M266" s="278">
        <v>-3825</v>
      </c>
    </row>
    <row r="267" spans="1:13" x14ac:dyDescent="0.35">
      <c r="A267" s="88" t="s">
        <v>152</v>
      </c>
      <c r="B267" s="246">
        <v>-6989</v>
      </c>
      <c r="C267" s="246">
        <v>-8998</v>
      </c>
      <c r="D267" s="246">
        <v>-6303</v>
      </c>
      <c r="E267" s="246">
        <v>-6267</v>
      </c>
      <c r="F267" s="275">
        <v>-4000</v>
      </c>
      <c r="G267" s="276">
        <v>-1100</v>
      </c>
      <c r="H267" s="277">
        <v>-1100</v>
      </c>
      <c r="I267" s="53"/>
      <c r="J267" s="376">
        <v>-6083</v>
      </c>
      <c r="K267" s="185">
        <v>-1500</v>
      </c>
      <c r="M267" s="278">
        <v>-1600</v>
      </c>
    </row>
    <row r="268" spans="1:13" x14ac:dyDescent="0.35">
      <c r="A268" s="88" t="s">
        <v>153</v>
      </c>
      <c r="B268" s="246">
        <v>0</v>
      </c>
      <c r="C268" s="246">
        <v>0</v>
      </c>
      <c r="D268" s="246">
        <v>-42500</v>
      </c>
      <c r="E268" s="246">
        <v>-17793</v>
      </c>
      <c r="F268" s="275">
        <v>-17448</v>
      </c>
      <c r="G268" s="276">
        <v>-17448</v>
      </c>
      <c r="H268" s="277">
        <v>-17448</v>
      </c>
      <c r="I268" s="53"/>
      <c r="J268" s="376">
        <v>-17793</v>
      </c>
      <c r="K268" s="185">
        <v>-17448</v>
      </c>
      <c r="M268" s="278">
        <v>-17448</v>
      </c>
    </row>
    <row r="269" spans="1:13" x14ac:dyDescent="0.35">
      <c r="A269" s="88" t="s">
        <v>154</v>
      </c>
      <c r="B269" s="246">
        <v>0</v>
      </c>
      <c r="C269" s="246"/>
      <c r="D269" s="246">
        <v>0</v>
      </c>
      <c r="E269" s="246">
        <v>0</v>
      </c>
      <c r="F269" s="275">
        <v>0</v>
      </c>
      <c r="G269" s="276">
        <v>0</v>
      </c>
      <c r="H269" s="277">
        <v>0</v>
      </c>
      <c r="I269" s="53"/>
      <c r="J269" s="376">
        <v>0</v>
      </c>
      <c r="K269" s="185">
        <v>0</v>
      </c>
      <c r="M269" s="278">
        <v>0</v>
      </c>
    </row>
    <row r="270" spans="1:13" x14ac:dyDescent="0.35">
      <c r="A270" s="88" t="s">
        <v>155</v>
      </c>
      <c r="B270" s="246">
        <v>-13115</v>
      </c>
      <c r="C270" s="246">
        <v>-15725</v>
      </c>
      <c r="D270" s="246">
        <v>-19738</v>
      </c>
      <c r="E270" s="246">
        <v>-16901</v>
      </c>
      <c r="F270" s="275">
        <v>-16000</v>
      </c>
      <c r="G270" s="276">
        <v>-11000</v>
      </c>
      <c r="H270" s="277">
        <v>-10000</v>
      </c>
      <c r="I270" s="53"/>
      <c r="J270" s="376">
        <v>-16809</v>
      </c>
      <c r="K270" s="185">
        <v>-14992</v>
      </c>
      <c r="M270" s="278">
        <v>-14992</v>
      </c>
    </row>
    <row r="271" spans="1:13" x14ac:dyDescent="0.35">
      <c r="A271" s="88" t="s">
        <v>156</v>
      </c>
      <c r="B271" s="246">
        <v>0</v>
      </c>
      <c r="C271" s="246">
        <v>0</v>
      </c>
      <c r="D271" s="246">
        <v>0</v>
      </c>
      <c r="E271" s="246">
        <v>-1069</v>
      </c>
      <c r="F271" s="275">
        <v>0</v>
      </c>
      <c r="G271" s="276">
        <v>-57420</v>
      </c>
      <c r="H271" s="277">
        <v>-57420</v>
      </c>
      <c r="I271" s="53"/>
      <c r="J271" s="376">
        <v>-1069</v>
      </c>
      <c r="K271" s="185">
        <v>-6330</v>
      </c>
      <c r="M271" s="278">
        <v>-14078</v>
      </c>
    </row>
    <row r="272" spans="1:13" x14ac:dyDescent="0.35">
      <c r="A272" s="88" t="s">
        <v>232</v>
      </c>
      <c r="B272" s="246"/>
      <c r="C272" s="246"/>
      <c r="D272" s="246"/>
      <c r="E272" s="246"/>
      <c r="F272" s="275">
        <v>-1000</v>
      </c>
      <c r="G272" s="276">
        <v>0</v>
      </c>
      <c r="H272" s="277">
        <v>0</v>
      </c>
      <c r="I272" s="53"/>
      <c r="J272" s="376">
        <v>0</v>
      </c>
      <c r="K272" s="185">
        <v>0</v>
      </c>
      <c r="M272" s="278">
        <v>0</v>
      </c>
    </row>
    <row r="273" spans="1:13" x14ac:dyDescent="0.35">
      <c r="A273" s="81" t="s">
        <v>157</v>
      </c>
      <c r="B273" s="246">
        <v>-349746</v>
      </c>
      <c r="C273" s="246">
        <v>-373258</v>
      </c>
      <c r="D273" s="246">
        <v>-393563</v>
      </c>
      <c r="E273" s="246">
        <v>-358105</v>
      </c>
      <c r="F273" s="275">
        <v>-347810</v>
      </c>
      <c r="G273" s="276">
        <v>-210000</v>
      </c>
      <c r="H273" s="277">
        <v>-190489</v>
      </c>
      <c r="I273" s="53"/>
      <c r="J273" s="376">
        <v>-312027</v>
      </c>
      <c r="K273" s="185">
        <v>-262764</v>
      </c>
      <c r="M273" s="278">
        <v>-282000</v>
      </c>
    </row>
    <row r="274" spans="1:13" x14ac:dyDescent="0.35">
      <c r="A274" s="88" t="s">
        <v>158</v>
      </c>
      <c r="B274" s="246">
        <v>-85869</v>
      </c>
      <c r="C274" s="246">
        <v>-91349</v>
      </c>
      <c r="D274" s="246">
        <v>-87612</v>
      </c>
      <c r="E274" s="246">
        <v>-83166</v>
      </c>
      <c r="F274" s="275">
        <v>-78300</v>
      </c>
      <c r="G274" s="276">
        <v>-33445</v>
      </c>
      <c r="H274" s="277">
        <v>-33445</v>
      </c>
      <c r="I274" s="53"/>
      <c r="J274" s="376">
        <v>-75001</v>
      </c>
      <c r="K274" s="185">
        <v>-50982</v>
      </c>
      <c r="M274" s="278">
        <v>-54246</v>
      </c>
    </row>
    <row r="275" spans="1:13" x14ac:dyDescent="0.35">
      <c r="A275" s="88" t="s">
        <v>159</v>
      </c>
      <c r="B275" s="246">
        <v>-5110</v>
      </c>
      <c r="C275" s="246">
        <v>-3900</v>
      </c>
      <c r="D275" s="246">
        <v>-1749</v>
      </c>
      <c r="E275" s="246">
        <v>-3510</v>
      </c>
      <c r="F275" s="275">
        <v>-3000</v>
      </c>
      <c r="G275" s="276">
        <v>0</v>
      </c>
      <c r="H275" s="277">
        <v>0</v>
      </c>
      <c r="I275" s="53"/>
      <c r="J275" s="376">
        <v>-2583</v>
      </c>
      <c r="K275" s="185">
        <v>-613</v>
      </c>
      <c r="M275" s="278">
        <v>-613</v>
      </c>
    </row>
    <row r="276" spans="1:13" x14ac:dyDescent="0.35">
      <c r="A276" s="88" t="s">
        <v>160</v>
      </c>
      <c r="B276" s="246">
        <v>-39219</v>
      </c>
      <c r="C276" s="246">
        <v>-42321</v>
      </c>
      <c r="D276" s="246">
        <v>-41489</v>
      </c>
      <c r="E276" s="246">
        <v>-38917</v>
      </c>
      <c r="F276" s="275">
        <v>-37596</v>
      </c>
      <c r="G276" s="276">
        <v>-13000</v>
      </c>
      <c r="H276" s="277">
        <v>-13000</v>
      </c>
      <c r="I276" s="53"/>
      <c r="J276" s="376">
        <v>-34495</v>
      </c>
      <c r="K276" s="185">
        <v>-12612</v>
      </c>
      <c r="M276" s="278">
        <v>-12612</v>
      </c>
    </row>
    <row r="277" spans="1:13" ht="15" thickBot="1" x14ac:dyDescent="0.4">
      <c r="A277" s="81" t="s">
        <v>161</v>
      </c>
      <c r="B277" s="246">
        <v>-450</v>
      </c>
      <c r="C277" s="246">
        <v>-378</v>
      </c>
      <c r="D277" s="246">
        <v>-271</v>
      </c>
      <c r="E277" s="246">
        <v>-270</v>
      </c>
      <c r="F277" s="275">
        <v>-300</v>
      </c>
      <c r="G277" s="276">
        <v>0</v>
      </c>
      <c r="H277" s="277">
        <v>0</v>
      </c>
      <c r="I277" s="53"/>
      <c r="J277" s="376">
        <v>-270</v>
      </c>
      <c r="K277" s="185">
        <v>0</v>
      </c>
      <c r="M277" s="278">
        <v>0</v>
      </c>
    </row>
    <row r="278" spans="1:13" ht="15" thickBot="1" x14ac:dyDescent="0.4">
      <c r="A278" s="420" t="s">
        <v>162</v>
      </c>
      <c r="B278" s="319">
        <f t="shared" ref="B278:D278" si="175">SUM(B253:B277)</f>
        <v>-603777</v>
      </c>
      <c r="C278" s="319">
        <f t="shared" si="175"/>
        <v>-640363</v>
      </c>
      <c r="D278" s="319">
        <f t="shared" si="175"/>
        <v>-712507</v>
      </c>
      <c r="E278" s="319">
        <f t="shared" ref="E278:K278" si="176">SUM(E253:E277)</f>
        <v>-654680</v>
      </c>
      <c r="F278" s="312">
        <f t="shared" si="176"/>
        <v>-641904</v>
      </c>
      <c r="G278" s="320">
        <f>SUM(G253:G277)</f>
        <v>-408313</v>
      </c>
      <c r="H278" s="321">
        <f t="shared" si="176"/>
        <v>-377302</v>
      </c>
      <c r="I278" s="113"/>
      <c r="J278" s="404">
        <f>SUM(J253:J277)</f>
        <v>-576547</v>
      </c>
      <c r="K278" s="366">
        <f t="shared" si="176"/>
        <v>-448193</v>
      </c>
      <c r="L278" s="405"/>
      <c r="M278" s="406">
        <f t="shared" ref="M278" si="177">SUM(M253:M277)</f>
        <v>-485925</v>
      </c>
    </row>
    <row r="279" spans="1:13" x14ac:dyDescent="0.35">
      <c r="A279" s="75"/>
      <c r="B279" s="315"/>
      <c r="C279" s="315"/>
      <c r="D279" s="315"/>
      <c r="E279" s="315"/>
      <c r="F279" s="315"/>
      <c r="G279" s="316"/>
      <c r="H279" s="173"/>
      <c r="I279" s="53"/>
      <c r="J279" s="401"/>
      <c r="K279" s="315"/>
      <c r="M279" s="317"/>
    </row>
    <row r="280" spans="1:13" ht="15" thickBot="1" x14ac:dyDescent="0.4">
      <c r="A280" s="75" t="s">
        <v>163</v>
      </c>
      <c r="B280" s="52"/>
      <c r="C280" s="52"/>
      <c r="D280" s="52"/>
      <c r="E280" s="52"/>
      <c r="F280" s="52"/>
      <c r="G280" s="172"/>
      <c r="H280" s="173"/>
      <c r="I280" s="53"/>
      <c r="J280" s="103"/>
      <c r="K280" s="52"/>
      <c r="M280" s="174"/>
    </row>
    <row r="281" spans="1:13" ht="15" thickTop="1" x14ac:dyDescent="0.35">
      <c r="A281" s="318"/>
      <c r="B281" s="59"/>
      <c r="C281" s="60"/>
      <c r="D281" s="60"/>
      <c r="E281" s="61"/>
      <c r="F281" s="175" t="s">
        <v>215</v>
      </c>
      <c r="G281" s="62" t="s">
        <v>237</v>
      </c>
      <c r="H281" s="63" t="s">
        <v>238</v>
      </c>
      <c r="I281" s="64"/>
      <c r="J281" s="395" t="s">
        <v>217</v>
      </c>
      <c r="K281" s="350" t="s">
        <v>283</v>
      </c>
      <c r="M281" s="65" t="s">
        <v>270</v>
      </c>
    </row>
    <row r="282" spans="1:13" x14ac:dyDescent="0.35">
      <c r="A282" s="102"/>
      <c r="B282" s="66" t="s">
        <v>2</v>
      </c>
      <c r="C282" s="67" t="s">
        <v>1</v>
      </c>
      <c r="D282" s="67" t="s">
        <v>1</v>
      </c>
      <c r="E282" s="66" t="s">
        <v>1</v>
      </c>
      <c r="F282" s="176" t="s">
        <v>3</v>
      </c>
      <c r="G282" s="68" t="s">
        <v>234</v>
      </c>
      <c r="H282" s="69" t="s">
        <v>5</v>
      </c>
      <c r="I282" s="64"/>
      <c r="J282" s="370" t="s">
        <v>216</v>
      </c>
      <c r="K282" s="351" t="s">
        <v>4</v>
      </c>
      <c r="M282" s="70" t="s">
        <v>5</v>
      </c>
    </row>
    <row r="283" spans="1:13" ht="15" thickBot="1" x14ac:dyDescent="0.4">
      <c r="A283" s="307"/>
      <c r="B283" s="300" t="s">
        <v>6</v>
      </c>
      <c r="C283" s="71" t="s">
        <v>7</v>
      </c>
      <c r="D283" s="71" t="s">
        <v>8</v>
      </c>
      <c r="E283" s="71" t="s">
        <v>9</v>
      </c>
      <c r="F283" s="177" t="s">
        <v>229</v>
      </c>
      <c r="G283" s="72" t="s">
        <v>239</v>
      </c>
      <c r="H283" s="73" t="s">
        <v>235</v>
      </c>
      <c r="I283" s="64"/>
      <c r="J283" s="371" t="s">
        <v>9</v>
      </c>
      <c r="K283" s="352" t="s">
        <v>230</v>
      </c>
      <c r="M283" s="74" t="s">
        <v>285</v>
      </c>
    </row>
    <row r="284" spans="1:13" x14ac:dyDescent="0.35">
      <c r="A284" s="88" t="s">
        <v>164</v>
      </c>
      <c r="B284" s="246">
        <v>0</v>
      </c>
      <c r="C284" s="246">
        <v>7500</v>
      </c>
      <c r="D284" s="246">
        <v>0</v>
      </c>
      <c r="E284" s="246">
        <v>0</v>
      </c>
      <c r="F284" s="275">
        <v>0</v>
      </c>
      <c r="G284" s="78"/>
      <c r="H284" s="79" t="s">
        <v>236</v>
      </c>
      <c r="I284" s="64"/>
      <c r="J284" s="376">
        <v>0</v>
      </c>
      <c r="K284" s="185">
        <v>0</v>
      </c>
      <c r="M284" s="80"/>
    </row>
    <row r="285" spans="1:13" x14ac:dyDescent="0.35">
      <c r="A285" s="88" t="s">
        <v>165</v>
      </c>
      <c r="B285" s="246">
        <v>0</v>
      </c>
      <c r="C285" s="246">
        <v>7000</v>
      </c>
      <c r="D285" s="246">
        <v>0</v>
      </c>
      <c r="E285" s="246">
        <v>0</v>
      </c>
      <c r="F285" s="275">
        <v>0</v>
      </c>
      <c r="G285" s="276">
        <v>0</v>
      </c>
      <c r="H285" s="277">
        <v>0</v>
      </c>
      <c r="I285" s="53"/>
      <c r="J285" s="376">
        <v>0</v>
      </c>
      <c r="K285" s="185">
        <v>0</v>
      </c>
      <c r="M285" s="278">
        <v>0</v>
      </c>
    </row>
    <row r="286" spans="1:13" ht="15" thickBot="1" x14ac:dyDescent="0.4">
      <c r="A286" s="88" t="s">
        <v>166</v>
      </c>
      <c r="B286" s="246">
        <v>0</v>
      </c>
      <c r="C286" s="246">
        <v>0</v>
      </c>
      <c r="D286" s="246">
        <v>0</v>
      </c>
      <c r="E286" s="246">
        <v>0</v>
      </c>
      <c r="F286" s="275">
        <v>0</v>
      </c>
      <c r="G286" s="276">
        <v>0</v>
      </c>
      <c r="H286" s="277">
        <v>0</v>
      </c>
      <c r="I286" s="53"/>
      <c r="J286" s="376">
        <v>0</v>
      </c>
      <c r="K286" s="185">
        <v>0</v>
      </c>
      <c r="M286" s="278">
        <v>0</v>
      </c>
    </row>
    <row r="287" spans="1:13" ht="15" thickBot="1" x14ac:dyDescent="0.4">
      <c r="A287" s="75" t="s">
        <v>167</v>
      </c>
      <c r="B287" s="322">
        <f>SUM(B284-B285-B286)</f>
        <v>0</v>
      </c>
      <c r="C287" s="322">
        <f>SUM(C284-C285-C286)</f>
        <v>500</v>
      </c>
      <c r="D287" s="322">
        <f>SUM(D284-D285-D286)</f>
        <v>0</v>
      </c>
      <c r="E287" s="322">
        <v>0</v>
      </c>
      <c r="F287" s="323">
        <v>0</v>
      </c>
      <c r="G287" s="324">
        <v>0</v>
      </c>
      <c r="H287" s="325">
        <v>0</v>
      </c>
      <c r="I287" s="53"/>
      <c r="J287" s="402">
        <f>SUM(J284-J285-J286)</f>
        <v>0</v>
      </c>
      <c r="K287" s="326">
        <v>0</v>
      </c>
      <c r="M287" s="327">
        <v>0</v>
      </c>
    </row>
    <row r="288" spans="1:13" x14ac:dyDescent="0.35">
      <c r="A288" s="75"/>
      <c r="B288" s="246"/>
      <c r="C288" s="246"/>
      <c r="D288" s="246"/>
      <c r="E288" s="246"/>
      <c r="F288" s="275"/>
      <c r="G288" s="276"/>
      <c r="H288" s="277"/>
      <c r="I288" s="53"/>
      <c r="J288" s="376"/>
      <c r="K288" s="185"/>
      <c r="M288" s="278"/>
    </row>
    <row r="289" spans="1:13" x14ac:dyDescent="0.35">
      <c r="A289" s="88" t="s">
        <v>168</v>
      </c>
      <c r="B289" s="246">
        <v>3102</v>
      </c>
      <c r="C289" s="246">
        <v>3000</v>
      </c>
      <c r="D289" s="246">
        <v>3898</v>
      </c>
      <c r="E289" s="246">
        <v>3875</v>
      </c>
      <c r="F289" s="275">
        <v>3875</v>
      </c>
      <c r="G289" s="276">
        <v>0</v>
      </c>
      <c r="H289" s="277">
        <v>0</v>
      </c>
      <c r="I289" s="53"/>
      <c r="J289" s="376">
        <v>3875</v>
      </c>
      <c r="K289" s="185">
        <v>0</v>
      </c>
      <c r="M289" s="278">
        <v>0</v>
      </c>
    </row>
    <row r="290" spans="1:13" x14ac:dyDescent="0.35">
      <c r="A290" s="88" t="s">
        <v>169</v>
      </c>
      <c r="B290" s="246">
        <v>2188</v>
      </c>
      <c r="C290" s="246">
        <v>2200</v>
      </c>
      <c r="D290" s="246">
        <v>3572</v>
      </c>
      <c r="E290" s="246">
        <v>3058</v>
      </c>
      <c r="F290" s="275">
        <v>2500</v>
      </c>
      <c r="G290" s="276">
        <v>1426</v>
      </c>
      <c r="H290" s="277">
        <v>1426</v>
      </c>
      <c r="I290" s="53"/>
      <c r="J290" s="376">
        <v>2879</v>
      </c>
      <c r="K290" s="185">
        <v>1426</v>
      </c>
      <c r="M290" s="278">
        <v>1426</v>
      </c>
    </row>
    <row r="291" spans="1:13" ht="15" thickBot="1" x14ac:dyDescent="0.4">
      <c r="A291" s="88" t="s">
        <v>170</v>
      </c>
      <c r="B291" s="246">
        <v>359</v>
      </c>
      <c r="C291" s="246">
        <v>350</v>
      </c>
      <c r="D291" s="246">
        <v>478</v>
      </c>
      <c r="E291" s="246">
        <v>184</v>
      </c>
      <c r="F291" s="275">
        <v>250</v>
      </c>
      <c r="G291" s="276">
        <v>0</v>
      </c>
      <c r="H291" s="277">
        <v>0</v>
      </c>
      <c r="I291" s="53"/>
      <c r="J291" s="376">
        <v>184</v>
      </c>
      <c r="K291" s="185">
        <v>0</v>
      </c>
      <c r="M291" s="278">
        <v>0</v>
      </c>
    </row>
    <row r="292" spans="1:13" ht="15" thickBot="1" x14ac:dyDescent="0.4">
      <c r="A292" s="75" t="s">
        <v>171</v>
      </c>
      <c r="B292" s="322">
        <f t="shared" ref="B292:K292" si="178">SUM(B289-B290-B291)</f>
        <v>555</v>
      </c>
      <c r="C292" s="322">
        <f t="shared" si="178"/>
        <v>450</v>
      </c>
      <c r="D292" s="322">
        <f t="shared" si="178"/>
        <v>-152</v>
      </c>
      <c r="E292" s="322">
        <f t="shared" ref="E292" si="179">SUM(E289-E290-E291)</f>
        <v>633</v>
      </c>
      <c r="F292" s="323">
        <f t="shared" si="178"/>
        <v>1125</v>
      </c>
      <c r="G292" s="324">
        <v>-1426</v>
      </c>
      <c r="H292" s="325">
        <v>-1426</v>
      </c>
      <c r="I292" s="53"/>
      <c r="J292" s="402">
        <f>SUM(J289-J290-J291)</f>
        <v>812</v>
      </c>
      <c r="K292" s="326">
        <f t="shared" si="178"/>
        <v>-1426</v>
      </c>
      <c r="M292" s="327">
        <v>-1426</v>
      </c>
    </row>
    <row r="293" spans="1:13" x14ac:dyDescent="0.35">
      <c r="A293" s="75"/>
      <c r="B293" s="238"/>
      <c r="C293" s="53"/>
      <c r="D293" s="53"/>
      <c r="E293" s="238"/>
      <c r="F293" s="308"/>
      <c r="G293" s="328"/>
      <c r="H293" s="329"/>
      <c r="I293" s="53"/>
      <c r="J293" s="376"/>
      <c r="K293" s="391"/>
      <c r="M293" s="330"/>
    </row>
    <row r="294" spans="1:13" x14ac:dyDescent="0.35">
      <c r="A294" s="88" t="s">
        <v>172</v>
      </c>
      <c r="B294" s="246">
        <v>13984</v>
      </c>
      <c r="C294" s="246">
        <v>13000</v>
      </c>
      <c r="D294" s="246">
        <v>25060</v>
      </c>
      <c r="E294" s="246">
        <v>21331</v>
      </c>
      <c r="F294" s="331">
        <v>0</v>
      </c>
      <c r="G294" s="276">
        <v>0</v>
      </c>
      <c r="H294" s="277">
        <v>0</v>
      </c>
      <c r="I294" s="53"/>
      <c r="J294" s="376">
        <v>21331</v>
      </c>
      <c r="K294" s="185">
        <v>0</v>
      </c>
      <c r="M294" s="278">
        <v>0</v>
      </c>
    </row>
    <row r="295" spans="1:13" x14ac:dyDescent="0.35">
      <c r="A295" s="88" t="s">
        <v>173</v>
      </c>
      <c r="B295" s="246">
        <v>12765</v>
      </c>
      <c r="C295" s="246">
        <v>11000</v>
      </c>
      <c r="D295" s="246">
        <v>20466</v>
      </c>
      <c r="E295" s="246">
        <v>15658</v>
      </c>
      <c r="F295" s="331">
        <v>0</v>
      </c>
      <c r="G295" s="276">
        <v>0</v>
      </c>
      <c r="H295" s="277">
        <v>0</v>
      </c>
      <c r="I295" s="53"/>
      <c r="J295" s="376">
        <v>15658</v>
      </c>
      <c r="K295" s="185">
        <v>0</v>
      </c>
      <c r="M295" s="278">
        <v>0</v>
      </c>
    </row>
    <row r="296" spans="1:13" ht="15" thickBot="1" x14ac:dyDescent="0.4">
      <c r="A296" s="88" t="s">
        <v>174</v>
      </c>
      <c r="B296" s="246">
        <v>761</v>
      </c>
      <c r="C296" s="246">
        <v>1600</v>
      </c>
      <c r="D296" s="246">
        <v>1396</v>
      </c>
      <c r="E296" s="246">
        <v>1133</v>
      </c>
      <c r="F296" s="331">
        <v>0</v>
      </c>
      <c r="G296" s="276">
        <v>0</v>
      </c>
      <c r="H296" s="277">
        <v>0</v>
      </c>
      <c r="I296" s="53"/>
      <c r="J296" s="376">
        <v>1133</v>
      </c>
      <c r="K296" s="185">
        <v>0</v>
      </c>
      <c r="M296" s="278">
        <v>0</v>
      </c>
    </row>
    <row r="297" spans="1:13" ht="15" thickBot="1" x14ac:dyDescent="0.4">
      <c r="A297" s="75" t="s">
        <v>175</v>
      </c>
      <c r="B297" s="322">
        <f t="shared" ref="B297:K297" si="180">SUM(B294-B295-B296)</f>
        <v>458</v>
      </c>
      <c r="C297" s="322">
        <f t="shared" si="180"/>
        <v>400</v>
      </c>
      <c r="D297" s="322">
        <f t="shared" si="180"/>
        <v>3198</v>
      </c>
      <c r="E297" s="322">
        <f t="shared" ref="E297" si="181">SUM(E294-E295-E296)</f>
        <v>4540</v>
      </c>
      <c r="F297" s="332">
        <f t="shared" si="180"/>
        <v>0</v>
      </c>
      <c r="G297" s="324">
        <v>0</v>
      </c>
      <c r="H297" s="325">
        <v>0</v>
      </c>
      <c r="I297" s="53"/>
      <c r="J297" s="402">
        <f>SUM(J294-J295-J296)</f>
        <v>4540</v>
      </c>
      <c r="K297" s="326">
        <f t="shared" si="180"/>
        <v>0</v>
      </c>
      <c r="M297" s="327">
        <v>0</v>
      </c>
    </row>
    <row r="298" spans="1:13" x14ac:dyDescent="0.35">
      <c r="A298" s="75"/>
      <c r="B298" s="238"/>
      <c r="C298" s="53"/>
      <c r="D298" s="53"/>
      <c r="E298" s="238"/>
      <c r="F298" s="308"/>
      <c r="G298" s="328"/>
      <c r="H298" s="329"/>
      <c r="I298" s="53"/>
      <c r="J298" s="376"/>
      <c r="K298" s="391"/>
      <c r="M298" s="330"/>
    </row>
    <row r="299" spans="1:13" x14ac:dyDescent="0.35">
      <c r="A299" s="88" t="s">
        <v>176</v>
      </c>
      <c r="B299" s="246">
        <v>0</v>
      </c>
      <c r="C299" s="246">
        <v>0</v>
      </c>
      <c r="D299" s="246">
        <v>0</v>
      </c>
      <c r="E299" s="246"/>
      <c r="F299" s="275"/>
      <c r="G299" s="276"/>
      <c r="H299" s="277"/>
      <c r="I299" s="53"/>
      <c r="J299" s="376">
        <v>0</v>
      </c>
      <c r="K299" s="185"/>
      <c r="M299" s="278"/>
    </row>
    <row r="300" spans="1:13" x14ac:dyDescent="0.35">
      <c r="A300" s="88" t="s">
        <v>177</v>
      </c>
      <c r="B300" s="246">
        <v>0</v>
      </c>
      <c r="C300" s="246">
        <v>0</v>
      </c>
      <c r="D300" s="246">
        <v>0</v>
      </c>
      <c r="E300" s="246"/>
      <c r="F300" s="275"/>
      <c r="G300" s="276"/>
      <c r="H300" s="277"/>
      <c r="I300" s="53"/>
      <c r="J300" s="376">
        <v>0</v>
      </c>
      <c r="K300" s="185"/>
      <c r="M300" s="278"/>
    </row>
    <row r="301" spans="1:13" ht="15" thickBot="1" x14ac:dyDescent="0.4">
      <c r="A301" s="88" t="s">
        <v>178</v>
      </c>
      <c r="B301" s="246">
        <v>0</v>
      </c>
      <c r="C301" s="246">
        <v>0</v>
      </c>
      <c r="D301" s="246">
        <v>0</v>
      </c>
      <c r="E301" s="246"/>
      <c r="F301" s="275"/>
      <c r="G301" s="276"/>
      <c r="H301" s="277"/>
      <c r="I301" s="53"/>
      <c r="J301" s="376">
        <v>0</v>
      </c>
      <c r="K301" s="185"/>
      <c r="M301" s="278"/>
    </row>
    <row r="302" spans="1:13" ht="15" thickBot="1" x14ac:dyDescent="0.4">
      <c r="A302" s="75" t="s">
        <v>179</v>
      </c>
      <c r="B302" s="322">
        <f t="shared" ref="B302:D302" si="182">SUM(B299-B300-B301)</f>
        <v>0</v>
      </c>
      <c r="C302" s="322">
        <f t="shared" si="182"/>
        <v>0</v>
      </c>
      <c r="D302" s="322">
        <f t="shared" si="182"/>
        <v>0</v>
      </c>
      <c r="E302" s="322"/>
      <c r="F302" s="323"/>
      <c r="G302" s="324"/>
      <c r="H302" s="325"/>
      <c r="I302" s="53"/>
      <c r="J302" s="402">
        <f>SUM(J299-J300-J301)</f>
        <v>0</v>
      </c>
      <c r="K302" s="326"/>
      <c r="M302" s="327"/>
    </row>
    <row r="303" spans="1:13" x14ac:dyDescent="0.35">
      <c r="A303" s="75"/>
      <c r="B303" s="238"/>
      <c r="C303" s="53"/>
      <c r="D303" s="53"/>
      <c r="E303" s="238"/>
      <c r="F303" s="308"/>
      <c r="G303" s="328"/>
      <c r="H303" s="329"/>
      <c r="I303" s="53"/>
      <c r="J303" s="376"/>
      <c r="K303" s="391"/>
      <c r="M303" s="330"/>
    </row>
    <row r="304" spans="1:13" x14ac:dyDescent="0.35">
      <c r="A304" s="88" t="s">
        <v>180</v>
      </c>
      <c r="B304" s="246">
        <v>10000</v>
      </c>
      <c r="C304" s="246">
        <v>10000</v>
      </c>
      <c r="D304" s="246">
        <v>10000</v>
      </c>
      <c r="E304" s="333"/>
      <c r="F304" s="334"/>
      <c r="G304" s="335"/>
      <c r="H304" s="336"/>
      <c r="I304" s="337"/>
      <c r="J304" s="376">
        <v>0</v>
      </c>
      <c r="K304" s="392"/>
      <c r="M304" s="338"/>
    </row>
    <row r="305" spans="1:13" x14ac:dyDescent="0.35">
      <c r="A305" s="88" t="s">
        <v>181</v>
      </c>
      <c r="B305" s="246">
        <v>6181</v>
      </c>
      <c r="C305" s="246">
        <v>6000</v>
      </c>
      <c r="D305" s="246">
        <v>5017</v>
      </c>
      <c r="E305" s="333"/>
      <c r="F305" s="334"/>
      <c r="G305" s="335"/>
      <c r="H305" s="336"/>
      <c r="I305" s="337"/>
      <c r="J305" s="376">
        <v>0</v>
      </c>
      <c r="K305" s="392"/>
      <c r="M305" s="338"/>
    </row>
    <row r="306" spans="1:13" ht="15" thickBot="1" x14ac:dyDescent="0.4">
      <c r="A306" s="88" t="s">
        <v>182</v>
      </c>
      <c r="B306" s="246">
        <v>1759</v>
      </c>
      <c r="C306" s="246">
        <v>2000</v>
      </c>
      <c r="D306" s="246">
        <v>100</v>
      </c>
      <c r="E306" s="333"/>
      <c r="F306" s="334"/>
      <c r="G306" s="335"/>
      <c r="H306" s="336"/>
      <c r="I306" s="337"/>
      <c r="J306" s="376">
        <v>0</v>
      </c>
      <c r="K306" s="392"/>
      <c r="M306" s="338"/>
    </row>
    <row r="307" spans="1:13" ht="15" thickBot="1" x14ac:dyDescent="0.4">
      <c r="A307" s="75" t="s">
        <v>183</v>
      </c>
      <c r="B307" s="322">
        <f t="shared" ref="B307:D307" si="183">SUM(B304-B305-B306)</f>
        <v>2060</v>
      </c>
      <c r="C307" s="322">
        <f t="shared" si="183"/>
        <v>2000</v>
      </c>
      <c r="D307" s="322">
        <f t="shared" si="183"/>
        <v>4883</v>
      </c>
      <c r="E307" s="339"/>
      <c r="F307" s="340"/>
      <c r="G307" s="341"/>
      <c r="H307" s="342"/>
      <c r="I307" s="337"/>
      <c r="J307" s="402">
        <f>SUM(J304-J305-J306)</f>
        <v>0</v>
      </c>
      <c r="K307" s="343"/>
      <c r="M307" s="344"/>
    </row>
    <row r="308" spans="1:13" x14ac:dyDescent="0.35">
      <c r="A308" s="75"/>
      <c r="B308" s="238"/>
      <c r="C308" s="53"/>
      <c r="D308" s="53"/>
      <c r="E308" s="238"/>
      <c r="F308" s="308"/>
      <c r="G308" s="328"/>
      <c r="H308" s="329"/>
      <c r="I308" s="53"/>
      <c r="J308" s="376"/>
      <c r="K308" s="391"/>
      <c r="M308" s="330"/>
    </row>
    <row r="309" spans="1:13" x14ac:dyDescent="0.35">
      <c r="A309" s="88" t="s">
        <v>184</v>
      </c>
      <c r="B309" s="246">
        <v>7340</v>
      </c>
      <c r="C309" s="246">
        <v>5500</v>
      </c>
      <c r="D309" s="246">
        <v>30677</v>
      </c>
      <c r="E309" s="246">
        <v>19926</v>
      </c>
      <c r="F309" s="331">
        <v>0</v>
      </c>
      <c r="G309" s="276">
        <v>0</v>
      </c>
      <c r="H309" s="277">
        <v>0</v>
      </c>
      <c r="I309" s="53"/>
      <c r="J309" s="376">
        <v>19926</v>
      </c>
      <c r="K309" s="185">
        <v>0</v>
      </c>
      <c r="M309" s="278">
        <v>0</v>
      </c>
    </row>
    <row r="310" spans="1:13" x14ac:dyDescent="0.35">
      <c r="A310" s="88" t="s">
        <v>185</v>
      </c>
      <c r="B310" s="246">
        <v>1649</v>
      </c>
      <c r="C310" s="246">
        <v>1000</v>
      </c>
      <c r="D310" s="246">
        <v>19275</v>
      </c>
      <c r="E310" s="246">
        <v>15642</v>
      </c>
      <c r="F310" s="331">
        <v>0</v>
      </c>
      <c r="G310" s="276">
        <v>0</v>
      </c>
      <c r="H310" s="277">
        <v>0</v>
      </c>
      <c r="I310" s="53"/>
      <c r="J310" s="376">
        <v>10342</v>
      </c>
      <c r="K310" s="185">
        <v>0</v>
      </c>
      <c r="M310" s="278">
        <v>0</v>
      </c>
    </row>
    <row r="311" spans="1:13" ht="15" thickBot="1" x14ac:dyDescent="0.4">
      <c r="A311" s="88" t="s">
        <v>186</v>
      </c>
      <c r="B311" s="246">
        <v>0</v>
      </c>
      <c r="C311" s="246">
        <v>0</v>
      </c>
      <c r="D311" s="246">
        <v>210</v>
      </c>
      <c r="E311" s="246">
        <v>0</v>
      </c>
      <c r="F311" s="331">
        <v>0</v>
      </c>
      <c r="G311" s="276">
        <v>0</v>
      </c>
      <c r="H311" s="277">
        <v>0</v>
      </c>
      <c r="I311" s="53"/>
      <c r="J311" s="376">
        <v>0</v>
      </c>
      <c r="K311" s="185">
        <v>0</v>
      </c>
      <c r="M311" s="278">
        <v>0</v>
      </c>
    </row>
    <row r="312" spans="1:13" ht="15" thickBot="1" x14ac:dyDescent="0.4">
      <c r="A312" s="95" t="s">
        <v>187</v>
      </c>
      <c r="B312" s="322">
        <f t="shared" ref="B312:D312" si="184">SUM(B309-B310-B311)</f>
        <v>5691</v>
      </c>
      <c r="C312" s="322">
        <f t="shared" si="184"/>
        <v>4500</v>
      </c>
      <c r="D312" s="322">
        <f t="shared" si="184"/>
        <v>11192</v>
      </c>
      <c r="E312" s="322">
        <f>SUM(E309-E310)</f>
        <v>4284</v>
      </c>
      <c r="F312" s="332">
        <v>0</v>
      </c>
      <c r="G312" s="324">
        <f>SUM(G309-G310-G311)</f>
        <v>0</v>
      </c>
      <c r="H312" s="325">
        <f>SUM(H309-H310-H311)</f>
        <v>0</v>
      </c>
      <c r="I312" s="53"/>
      <c r="J312" s="402">
        <f>SUM(J309-J310-J311)</f>
        <v>9584</v>
      </c>
      <c r="K312" s="326">
        <f>SUM(K309-K310)</f>
        <v>0</v>
      </c>
      <c r="M312" s="327">
        <f>SUM(M309-M310-M311)</f>
        <v>0</v>
      </c>
    </row>
    <row r="313" spans="1:13" x14ac:dyDescent="0.35">
      <c r="A313" s="75"/>
      <c r="B313" s="246"/>
      <c r="C313" s="246"/>
      <c r="D313" s="246"/>
      <c r="E313" s="246"/>
      <c r="F313" s="275"/>
      <c r="G313" s="276"/>
      <c r="H313" s="277"/>
      <c r="I313" s="53"/>
      <c r="J313" s="376"/>
      <c r="K313" s="185"/>
      <c r="M313" s="278"/>
    </row>
    <row r="314" spans="1:13" x14ac:dyDescent="0.35">
      <c r="A314" s="88" t="s">
        <v>188</v>
      </c>
      <c r="B314" s="246">
        <v>37064</v>
      </c>
      <c r="C314" s="246">
        <v>32500</v>
      </c>
      <c r="D314" s="246">
        <v>35877</v>
      </c>
      <c r="E314" s="246">
        <v>39731</v>
      </c>
      <c r="F314" s="275">
        <v>37000</v>
      </c>
      <c r="G314" s="276">
        <v>2000</v>
      </c>
      <c r="H314" s="277">
        <v>2000</v>
      </c>
      <c r="I314" s="53"/>
      <c r="J314" s="376">
        <v>39731</v>
      </c>
      <c r="K314" s="185">
        <v>2000</v>
      </c>
      <c r="M314" s="278">
        <v>2000</v>
      </c>
    </row>
    <row r="315" spans="1:13" x14ac:dyDescent="0.35">
      <c r="A315" s="88" t="s">
        <v>189</v>
      </c>
      <c r="B315" s="246">
        <v>15350</v>
      </c>
      <c r="C315" s="246">
        <v>13000</v>
      </c>
      <c r="D315" s="246">
        <v>15137</v>
      </c>
      <c r="E315" s="246">
        <v>16283</v>
      </c>
      <c r="F315" s="275">
        <v>17000</v>
      </c>
      <c r="G315" s="276">
        <v>2445</v>
      </c>
      <c r="H315" s="277">
        <v>2445</v>
      </c>
      <c r="I315" s="53"/>
      <c r="J315" s="376">
        <v>16283</v>
      </c>
      <c r="K315" s="185">
        <v>2445</v>
      </c>
      <c r="M315" s="278">
        <v>2445</v>
      </c>
    </row>
    <row r="316" spans="1:13" ht="15" thickBot="1" x14ac:dyDescent="0.4">
      <c r="A316" s="88" t="s">
        <v>190</v>
      </c>
      <c r="B316" s="246">
        <v>860</v>
      </c>
      <c r="C316" s="246">
        <v>900</v>
      </c>
      <c r="D316" s="246">
        <v>681</v>
      </c>
      <c r="E316" s="246">
        <v>542</v>
      </c>
      <c r="F316" s="275">
        <v>550</v>
      </c>
      <c r="G316" s="276">
        <v>0</v>
      </c>
      <c r="H316" s="277">
        <v>0</v>
      </c>
      <c r="I316" s="53"/>
      <c r="J316" s="376">
        <v>542</v>
      </c>
      <c r="K316" s="185">
        <v>0</v>
      </c>
      <c r="M316" s="278">
        <v>0</v>
      </c>
    </row>
    <row r="317" spans="1:13" ht="15" thickBot="1" x14ac:dyDescent="0.4">
      <c r="A317" s="75" t="s">
        <v>191</v>
      </c>
      <c r="B317" s="322">
        <f t="shared" ref="B317:K317" si="185">SUM(B314-B315-B316)</f>
        <v>20854</v>
      </c>
      <c r="C317" s="322">
        <f t="shared" si="185"/>
        <v>18600</v>
      </c>
      <c r="D317" s="322">
        <f t="shared" si="185"/>
        <v>20059</v>
      </c>
      <c r="E317" s="322">
        <f t="shared" ref="E317" si="186">SUM(E314-E315-E316)</f>
        <v>22906</v>
      </c>
      <c r="F317" s="323">
        <f t="shared" si="185"/>
        <v>19450</v>
      </c>
      <c r="G317" s="324">
        <v>-445</v>
      </c>
      <c r="H317" s="325">
        <v>-445</v>
      </c>
      <c r="I317" s="53"/>
      <c r="J317" s="402">
        <f>SUM(J314-J315-J316)</f>
        <v>22906</v>
      </c>
      <c r="K317" s="326">
        <f t="shared" si="185"/>
        <v>-445</v>
      </c>
      <c r="M317" s="327">
        <v>-445</v>
      </c>
    </row>
    <row r="318" spans="1:13" x14ac:dyDescent="0.35">
      <c r="A318" s="75"/>
      <c r="B318" s="246"/>
      <c r="C318" s="246"/>
      <c r="D318" s="246"/>
      <c r="E318" s="246"/>
      <c r="F318" s="275"/>
      <c r="G318" s="276"/>
      <c r="H318" s="277"/>
      <c r="I318" s="53"/>
      <c r="J318" s="376"/>
      <c r="K318" s="185"/>
      <c r="M318" s="278"/>
    </row>
    <row r="319" spans="1:13" x14ac:dyDescent="0.35">
      <c r="A319" s="88" t="s">
        <v>192</v>
      </c>
      <c r="B319" s="246">
        <v>8000</v>
      </c>
      <c r="C319" s="246">
        <v>10000</v>
      </c>
      <c r="D319" s="246">
        <v>10000</v>
      </c>
      <c r="E319" s="246">
        <v>13371</v>
      </c>
      <c r="F319" s="275">
        <v>10000</v>
      </c>
      <c r="G319" s="276">
        <v>0</v>
      </c>
      <c r="H319" s="277">
        <v>0</v>
      </c>
      <c r="I319" s="53"/>
      <c r="J319" s="376">
        <v>13371</v>
      </c>
      <c r="K319" s="185">
        <v>0</v>
      </c>
      <c r="M319" s="278">
        <v>0</v>
      </c>
    </row>
    <row r="320" spans="1:13" x14ac:dyDescent="0.35">
      <c r="A320" s="88" t="s">
        <v>193</v>
      </c>
      <c r="B320" s="246">
        <v>100</v>
      </c>
      <c r="C320" s="246"/>
      <c r="D320" s="246">
        <v>201</v>
      </c>
      <c r="E320" s="246">
        <v>3651</v>
      </c>
      <c r="F320" s="275">
        <v>500</v>
      </c>
      <c r="G320" s="276">
        <v>0</v>
      </c>
      <c r="H320" s="277">
        <v>0</v>
      </c>
      <c r="I320" s="53"/>
      <c r="J320" s="376">
        <v>3651</v>
      </c>
      <c r="K320" s="185">
        <v>0</v>
      </c>
      <c r="M320" s="278">
        <v>0</v>
      </c>
    </row>
    <row r="321" spans="1:13" ht="15" thickBot="1" x14ac:dyDescent="0.4">
      <c r="A321" s="88" t="s">
        <v>194</v>
      </c>
      <c r="B321" s="246">
        <v>360</v>
      </c>
      <c r="C321" s="246">
        <v>300</v>
      </c>
      <c r="D321" s="246">
        <v>352</v>
      </c>
      <c r="E321" s="246">
        <v>552</v>
      </c>
      <c r="F321" s="275">
        <v>552</v>
      </c>
      <c r="G321" s="276">
        <v>0</v>
      </c>
      <c r="H321" s="277">
        <v>0</v>
      </c>
      <c r="I321" s="53"/>
      <c r="J321" s="376">
        <v>552</v>
      </c>
      <c r="K321" s="185">
        <v>0</v>
      </c>
      <c r="M321" s="278">
        <v>0</v>
      </c>
    </row>
    <row r="322" spans="1:13" ht="15" thickBot="1" x14ac:dyDescent="0.4">
      <c r="A322" s="75" t="s">
        <v>195</v>
      </c>
      <c r="B322" s="322">
        <f t="shared" ref="B322:F322" si="187">SUM(B319-B320-B321)</f>
        <v>7540</v>
      </c>
      <c r="C322" s="322">
        <f t="shared" si="187"/>
        <v>9700</v>
      </c>
      <c r="D322" s="322">
        <f t="shared" si="187"/>
        <v>9447</v>
      </c>
      <c r="E322" s="322">
        <f t="shared" ref="E322" si="188">SUM(E319-E320-E321)</f>
        <v>9168</v>
      </c>
      <c r="F322" s="323">
        <f t="shared" si="187"/>
        <v>8948</v>
      </c>
      <c r="G322" s="324">
        <f>SUM(G319-G320-G321)</f>
        <v>0</v>
      </c>
      <c r="H322" s="325">
        <f>SUM(H319-H320-H321)</f>
        <v>0</v>
      </c>
      <c r="I322" s="53"/>
      <c r="J322" s="402">
        <f>SUM(J319-J320-J321)</f>
        <v>9168</v>
      </c>
      <c r="K322" s="326">
        <v>0</v>
      </c>
      <c r="M322" s="327">
        <f>SUM(M319-M320-M321)</f>
        <v>0</v>
      </c>
    </row>
    <row r="323" spans="1:13" x14ac:dyDescent="0.35">
      <c r="A323" s="75"/>
      <c r="B323" s="246"/>
      <c r="C323" s="246"/>
      <c r="D323" s="246"/>
      <c r="E323" s="246"/>
      <c r="F323" s="275"/>
      <c r="G323" s="276"/>
      <c r="H323" s="277"/>
      <c r="I323" s="53"/>
      <c r="J323" s="376"/>
      <c r="K323" s="185"/>
      <c r="M323" s="278"/>
    </row>
    <row r="324" spans="1:13" x14ac:dyDescent="0.35">
      <c r="A324" s="88" t="s">
        <v>196</v>
      </c>
      <c r="B324" s="246">
        <v>2281</v>
      </c>
      <c r="C324" s="246">
        <v>4000</v>
      </c>
      <c r="D324" s="246">
        <v>4000</v>
      </c>
      <c r="E324" s="246">
        <v>5060</v>
      </c>
      <c r="F324" s="275">
        <v>5000</v>
      </c>
      <c r="G324" s="276">
        <v>0</v>
      </c>
      <c r="H324" s="277">
        <v>0</v>
      </c>
      <c r="I324" s="53"/>
      <c r="J324" s="376">
        <v>5060</v>
      </c>
      <c r="K324" s="185">
        <v>0</v>
      </c>
      <c r="M324" s="278">
        <v>0</v>
      </c>
    </row>
    <row r="325" spans="1:13" x14ac:dyDescent="0.35">
      <c r="A325" s="88" t="s">
        <v>197</v>
      </c>
      <c r="B325" s="246">
        <v>3486</v>
      </c>
      <c r="C325" s="246">
        <v>3500</v>
      </c>
      <c r="D325" s="246">
        <v>3500</v>
      </c>
      <c r="E325" s="246">
        <v>2548</v>
      </c>
      <c r="F325" s="275">
        <v>2100</v>
      </c>
      <c r="G325" s="276">
        <v>0</v>
      </c>
      <c r="H325" s="277">
        <v>0</v>
      </c>
      <c r="I325" s="53"/>
      <c r="J325" s="376">
        <v>2548</v>
      </c>
      <c r="K325" s="185">
        <v>0</v>
      </c>
      <c r="M325" s="278">
        <v>0</v>
      </c>
    </row>
    <row r="326" spans="1:13" ht="15" thickBot="1" x14ac:dyDescent="0.4">
      <c r="A326" s="88" t="s">
        <v>198</v>
      </c>
      <c r="B326" s="246">
        <v>316</v>
      </c>
      <c r="C326" s="246">
        <v>500</v>
      </c>
      <c r="D326" s="246">
        <v>500</v>
      </c>
      <c r="E326" s="246">
        <v>0</v>
      </c>
      <c r="F326" s="275">
        <v>500</v>
      </c>
      <c r="G326" s="276">
        <v>0</v>
      </c>
      <c r="H326" s="277">
        <v>0</v>
      </c>
      <c r="I326" s="53"/>
      <c r="J326" s="376">
        <v>0</v>
      </c>
      <c r="K326" s="185">
        <v>0</v>
      </c>
      <c r="M326" s="278">
        <v>0</v>
      </c>
    </row>
    <row r="327" spans="1:13" ht="15" thickBot="1" x14ac:dyDescent="0.4">
      <c r="A327" s="75" t="s">
        <v>199</v>
      </c>
      <c r="B327" s="322">
        <f t="shared" ref="B327:K327" si="189">SUM(B324-B325-B326)</f>
        <v>-1521</v>
      </c>
      <c r="C327" s="322">
        <f t="shared" si="189"/>
        <v>0</v>
      </c>
      <c r="D327" s="322">
        <f t="shared" si="189"/>
        <v>0</v>
      </c>
      <c r="E327" s="322">
        <f t="shared" ref="E327" si="190">SUM(E324-E325-E326)</f>
        <v>2512</v>
      </c>
      <c r="F327" s="323">
        <f t="shared" si="189"/>
        <v>2400</v>
      </c>
      <c r="G327" s="324">
        <f>SUM(G324-G325-G326)</f>
        <v>0</v>
      </c>
      <c r="H327" s="325">
        <f>SUM(H324-H325-H326)</f>
        <v>0</v>
      </c>
      <c r="I327" s="53"/>
      <c r="J327" s="402">
        <f>SUM(J324-J325-J326)</f>
        <v>2512</v>
      </c>
      <c r="K327" s="326">
        <f t="shared" si="189"/>
        <v>0</v>
      </c>
      <c r="M327" s="327">
        <f>SUM(M324-M325-M326)</f>
        <v>0</v>
      </c>
    </row>
    <row r="328" spans="1:13" x14ac:dyDescent="0.35">
      <c r="A328" s="75"/>
      <c r="B328" s="246"/>
      <c r="C328" s="246"/>
      <c r="D328" s="246"/>
      <c r="E328" s="246"/>
      <c r="F328" s="275"/>
      <c r="G328" s="276"/>
      <c r="H328" s="277"/>
      <c r="I328" s="53"/>
      <c r="J328" s="376"/>
      <c r="K328" s="185"/>
      <c r="M328" s="278"/>
    </row>
    <row r="329" spans="1:13" x14ac:dyDescent="0.35">
      <c r="A329" s="88" t="s">
        <v>200</v>
      </c>
      <c r="B329" s="246">
        <v>1520</v>
      </c>
      <c r="C329" s="246">
        <v>1500</v>
      </c>
      <c r="D329" s="246">
        <v>1180</v>
      </c>
      <c r="E329" s="246">
        <v>1440</v>
      </c>
      <c r="F329" s="275">
        <v>1500</v>
      </c>
      <c r="G329" s="276">
        <v>0</v>
      </c>
      <c r="H329" s="277">
        <v>0</v>
      </c>
      <c r="I329" s="53"/>
      <c r="J329" s="376">
        <v>1440</v>
      </c>
      <c r="K329" s="185">
        <v>0</v>
      </c>
      <c r="M329" s="278">
        <v>0</v>
      </c>
    </row>
    <row r="330" spans="1:13" x14ac:dyDescent="0.35">
      <c r="A330" s="88" t="s">
        <v>201</v>
      </c>
      <c r="B330" s="246">
        <v>1112</v>
      </c>
      <c r="C330" s="246">
        <v>1200</v>
      </c>
      <c r="D330" s="246">
        <v>1485</v>
      </c>
      <c r="E330" s="246">
        <v>1139</v>
      </c>
      <c r="F330" s="275">
        <v>750</v>
      </c>
      <c r="G330" s="276">
        <v>0</v>
      </c>
      <c r="H330" s="277">
        <v>0</v>
      </c>
      <c r="I330" s="53"/>
      <c r="J330" s="376">
        <v>773</v>
      </c>
      <c r="K330" s="185">
        <v>0</v>
      </c>
      <c r="M330" s="278">
        <v>0</v>
      </c>
    </row>
    <row r="331" spans="1:13" ht="15" thickBot="1" x14ac:dyDescent="0.4">
      <c r="A331" s="88" t="s">
        <v>202</v>
      </c>
      <c r="B331" s="246">
        <v>240</v>
      </c>
      <c r="C331" s="246">
        <v>250</v>
      </c>
      <c r="D331" s="246">
        <v>64</v>
      </c>
      <c r="E331" s="246">
        <v>230</v>
      </c>
      <c r="F331" s="275">
        <v>250</v>
      </c>
      <c r="G331" s="276">
        <v>0</v>
      </c>
      <c r="H331" s="277">
        <v>0</v>
      </c>
      <c r="I331" s="53"/>
      <c r="J331" s="376">
        <v>230</v>
      </c>
      <c r="K331" s="185">
        <v>0</v>
      </c>
      <c r="M331" s="278">
        <v>0</v>
      </c>
    </row>
    <row r="332" spans="1:13" ht="15" thickBot="1" x14ac:dyDescent="0.4">
      <c r="A332" s="75" t="s">
        <v>203</v>
      </c>
      <c r="B332" s="322">
        <f t="shared" ref="B332:F332" si="191">SUM(B329-B330-B331)</f>
        <v>168</v>
      </c>
      <c r="C332" s="322">
        <f t="shared" si="191"/>
        <v>50</v>
      </c>
      <c r="D332" s="322">
        <f t="shared" si="191"/>
        <v>-369</v>
      </c>
      <c r="E332" s="322">
        <f>SUM(E329-E330-E331)</f>
        <v>71</v>
      </c>
      <c r="F332" s="323">
        <f t="shared" si="191"/>
        <v>500</v>
      </c>
      <c r="G332" s="324">
        <f>SUM(G329-G330-G331)</f>
        <v>0</v>
      </c>
      <c r="H332" s="325">
        <f>SUM(H329-H330-H331)</f>
        <v>0</v>
      </c>
      <c r="I332" s="53"/>
      <c r="J332" s="402">
        <f>SUM(J329-J330-J331)</f>
        <v>437</v>
      </c>
      <c r="K332" s="326">
        <f>SUM(K329-K330-K331)</f>
        <v>0</v>
      </c>
      <c r="M332" s="327">
        <v>0</v>
      </c>
    </row>
    <row r="333" spans="1:13" x14ac:dyDescent="0.35">
      <c r="A333" s="75"/>
      <c r="B333" s="246"/>
      <c r="C333" s="246"/>
      <c r="D333" s="246"/>
      <c r="E333" s="246"/>
      <c r="F333" s="275"/>
      <c r="G333" s="276"/>
      <c r="H333" s="277"/>
      <c r="I333" s="53"/>
      <c r="J333" s="376"/>
      <c r="K333" s="185"/>
      <c r="M333" s="278"/>
    </row>
    <row r="334" spans="1:13" x14ac:dyDescent="0.35">
      <c r="A334" s="88" t="s">
        <v>204</v>
      </c>
      <c r="B334" s="246">
        <v>2450</v>
      </c>
      <c r="C334" s="246">
        <v>3000</v>
      </c>
      <c r="D334" s="246">
        <v>2306</v>
      </c>
      <c r="E334" s="246">
        <v>2500</v>
      </c>
      <c r="F334" s="275">
        <v>2750</v>
      </c>
      <c r="G334" s="276">
        <v>0</v>
      </c>
      <c r="H334" s="277">
        <v>0</v>
      </c>
      <c r="I334" s="53"/>
      <c r="J334" s="376">
        <v>430</v>
      </c>
      <c r="K334" s="185">
        <v>0</v>
      </c>
      <c r="M334" s="278">
        <v>0</v>
      </c>
    </row>
    <row r="335" spans="1:13" x14ac:dyDescent="0.35">
      <c r="A335" s="88" t="s">
        <v>205</v>
      </c>
      <c r="B335" s="246">
        <v>941</v>
      </c>
      <c r="C335" s="246">
        <v>1000</v>
      </c>
      <c r="D335" s="246">
        <v>1047</v>
      </c>
      <c r="E335" s="246">
        <v>700</v>
      </c>
      <c r="F335" s="275">
        <v>700</v>
      </c>
      <c r="G335" s="276">
        <v>0</v>
      </c>
      <c r="H335" s="277">
        <v>0</v>
      </c>
      <c r="I335" s="53"/>
      <c r="J335" s="376">
        <v>255</v>
      </c>
      <c r="K335" s="185">
        <v>0</v>
      </c>
      <c r="M335" s="278">
        <v>0</v>
      </c>
    </row>
    <row r="336" spans="1:13" ht="15" thickBot="1" x14ac:dyDescent="0.4">
      <c r="A336" s="88" t="s">
        <v>206</v>
      </c>
      <c r="B336" s="246">
        <v>80</v>
      </c>
      <c r="C336" s="246">
        <v>200</v>
      </c>
      <c r="D336" s="246">
        <v>0</v>
      </c>
      <c r="E336" s="246">
        <v>200</v>
      </c>
      <c r="F336" s="275">
        <v>200</v>
      </c>
      <c r="G336" s="276">
        <v>0</v>
      </c>
      <c r="H336" s="277">
        <v>0</v>
      </c>
      <c r="I336" s="53"/>
      <c r="J336" s="376">
        <v>0</v>
      </c>
      <c r="K336" s="185">
        <v>0</v>
      </c>
      <c r="M336" s="278">
        <v>0</v>
      </c>
    </row>
    <row r="337" spans="1:13" ht="15" thickBot="1" x14ac:dyDescent="0.4">
      <c r="A337" s="75" t="s">
        <v>207</v>
      </c>
      <c r="B337" s="322">
        <f t="shared" ref="B337:F337" si="192">SUM(B334-B335-B336)</f>
        <v>1429</v>
      </c>
      <c r="C337" s="322">
        <f t="shared" si="192"/>
        <v>1800</v>
      </c>
      <c r="D337" s="322">
        <f t="shared" si="192"/>
        <v>1259</v>
      </c>
      <c r="E337" s="322">
        <f t="shared" ref="E337" si="193">SUM(E334-E335-E336)</f>
        <v>1600</v>
      </c>
      <c r="F337" s="323">
        <f t="shared" si="192"/>
        <v>1850</v>
      </c>
      <c r="G337" s="324">
        <f>SUM(G334-G335-G336)</f>
        <v>0</v>
      </c>
      <c r="H337" s="325">
        <f>SUM(H334-H335-H336)</f>
        <v>0</v>
      </c>
      <c r="I337" s="53"/>
      <c r="J337" s="402">
        <f>SUM(J334-J335-J336)</f>
        <v>175</v>
      </c>
      <c r="K337" s="326">
        <v>0</v>
      </c>
      <c r="M337" s="327">
        <f>SUM(M334-M335-M336)</f>
        <v>0</v>
      </c>
    </row>
    <row r="338" spans="1:13" x14ac:dyDescent="0.35">
      <c r="A338" s="75"/>
      <c r="B338" s="246"/>
      <c r="C338" s="246"/>
      <c r="D338" s="246"/>
      <c r="E338" s="246"/>
      <c r="F338" s="275"/>
      <c r="G338" s="276"/>
      <c r="H338" s="277"/>
      <c r="I338" s="53"/>
      <c r="J338" s="376"/>
      <c r="K338" s="185"/>
      <c r="M338" s="278"/>
    </row>
    <row r="339" spans="1:13" x14ac:dyDescent="0.35">
      <c r="A339" s="88" t="s">
        <v>208</v>
      </c>
      <c r="B339" s="246">
        <v>3686</v>
      </c>
      <c r="C339" s="246"/>
      <c r="D339" s="246">
        <v>1572</v>
      </c>
      <c r="E339" s="246">
        <v>0</v>
      </c>
      <c r="F339" s="275">
        <v>0</v>
      </c>
      <c r="G339" s="276">
        <v>0</v>
      </c>
      <c r="H339" s="277">
        <v>0</v>
      </c>
      <c r="I339" s="53"/>
      <c r="J339" s="376">
        <v>0</v>
      </c>
      <c r="K339" s="185">
        <v>0</v>
      </c>
      <c r="M339" s="278">
        <v>0</v>
      </c>
    </row>
    <row r="340" spans="1:13" ht="15" thickBot="1" x14ac:dyDescent="0.4">
      <c r="A340" s="88" t="s">
        <v>209</v>
      </c>
      <c r="B340" s="246">
        <v>6243</v>
      </c>
      <c r="C340" s="246">
        <v>13000</v>
      </c>
      <c r="D340" s="246">
        <v>13316</v>
      </c>
      <c r="E340" s="246">
        <v>7664</v>
      </c>
      <c r="F340" s="275">
        <v>6283</v>
      </c>
      <c r="G340" s="276">
        <v>0</v>
      </c>
      <c r="H340" s="277">
        <v>0</v>
      </c>
      <c r="I340" s="53"/>
      <c r="J340" s="376">
        <v>5386</v>
      </c>
      <c r="K340" s="185">
        <v>-149</v>
      </c>
      <c r="M340" s="278">
        <v>0</v>
      </c>
    </row>
    <row r="341" spans="1:13" ht="15" thickBot="1" x14ac:dyDescent="0.4">
      <c r="A341" s="75" t="s">
        <v>210</v>
      </c>
      <c r="B341" s="322">
        <f t="shared" ref="B341:K341" si="194">SUM(B339-B340)</f>
        <v>-2557</v>
      </c>
      <c r="C341" s="322">
        <f t="shared" si="194"/>
        <v>-13000</v>
      </c>
      <c r="D341" s="322">
        <f t="shared" ref="D341:F341" si="195">SUM(D339-D340)</f>
        <v>-11744</v>
      </c>
      <c r="E341" s="322">
        <f t="shared" si="195"/>
        <v>-7664</v>
      </c>
      <c r="F341" s="323">
        <f t="shared" si="195"/>
        <v>-6283</v>
      </c>
      <c r="G341" s="324">
        <v>0</v>
      </c>
      <c r="H341" s="325">
        <v>0</v>
      </c>
      <c r="I341" s="53"/>
      <c r="J341" s="402">
        <f>SUM(J339-J340)</f>
        <v>-5386</v>
      </c>
      <c r="K341" s="326">
        <f t="shared" si="194"/>
        <v>149</v>
      </c>
      <c r="M341" s="327">
        <v>0</v>
      </c>
    </row>
    <row r="342" spans="1:13" x14ac:dyDescent="0.35">
      <c r="A342" s="75"/>
      <c r="B342" s="183"/>
      <c r="C342" s="183"/>
      <c r="D342" s="183"/>
      <c r="E342" s="183"/>
      <c r="F342" s="184"/>
      <c r="G342" s="172"/>
      <c r="H342" s="173"/>
      <c r="I342" s="53"/>
      <c r="J342" s="376"/>
      <c r="K342" s="185"/>
      <c r="M342" s="186"/>
    </row>
    <row r="343" spans="1:13" x14ac:dyDescent="0.35">
      <c r="A343" s="88" t="s">
        <v>211</v>
      </c>
      <c r="B343" s="246">
        <f t="shared" ref="B343:D344" si="196">SUM(B284,B289,B294,B299,B304,B309,B314,B319,B324,B329,B334,B339)</f>
        <v>89427</v>
      </c>
      <c r="C343" s="246">
        <f t="shared" si="196"/>
        <v>90000</v>
      </c>
      <c r="D343" s="246">
        <f t="shared" si="196"/>
        <v>124570</v>
      </c>
      <c r="E343" s="246">
        <f>SUM(E289, E294, E309, E314, E319, E324, E329, E334, E339)</f>
        <v>107234</v>
      </c>
      <c r="F343" s="275">
        <f>SUM(F284,F289,F294,F299,F304,F309,F314,F319,F324,F329,F334,F339)</f>
        <v>60125</v>
      </c>
      <c r="G343" s="276">
        <f>SUM(G284,G289,G294,G299,G304,G309,G314,G319,G324,G329,G334,G339)</f>
        <v>2000</v>
      </c>
      <c r="H343" s="277">
        <f>SUM(H284,H289,H294,H299,H304,H309,H314,H319,H324,H329,H334,H339)</f>
        <v>2000</v>
      </c>
      <c r="I343" s="53"/>
      <c r="J343" s="376">
        <f>SUM(J284,J289,J294,J299,J304,J309,J314,J319,J324,J329,J334,J339)</f>
        <v>105164</v>
      </c>
      <c r="K343" s="185">
        <f>SUM(K289, K294, K309, K314, K319, K324, K329, K334, K339)</f>
        <v>2000</v>
      </c>
      <c r="M343" s="278">
        <f>SUM(M284,M289,M294,M299,M304,M309,M314,M319,M324,M329,M334,M339)</f>
        <v>2000</v>
      </c>
    </row>
    <row r="344" spans="1:13" x14ac:dyDescent="0.35">
      <c r="A344" s="88" t="s">
        <v>212</v>
      </c>
      <c r="B344" s="246">
        <f t="shared" si="196"/>
        <v>50015</v>
      </c>
      <c r="C344" s="246">
        <f t="shared" si="196"/>
        <v>58900</v>
      </c>
      <c r="D344" s="246">
        <f t="shared" si="196"/>
        <v>83016</v>
      </c>
      <c r="E344" s="246">
        <f>SUM(E290, E295, E310, E315, E320, E325, E330, E335, )</f>
        <v>58679</v>
      </c>
      <c r="F344" s="275">
        <f>SUM(F290,F295,F310,F315,F320,F325,F330,F335)</f>
        <v>23550</v>
      </c>
      <c r="G344" s="276">
        <v>3871</v>
      </c>
      <c r="H344" s="277">
        <v>3871</v>
      </c>
      <c r="I344" s="53"/>
      <c r="J344" s="376">
        <f>SUM(J285,J290,J295,J300,J305,J310,J315,J320,J325,J330,J335,J340)</f>
        <v>57775</v>
      </c>
      <c r="K344" s="185">
        <f>SUM(K290, K295, K310, K315, K320, K325, K330, K335, )</f>
        <v>3871</v>
      </c>
      <c r="M344" s="278">
        <v>3871</v>
      </c>
    </row>
    <row r="345" spans="1:13" ht="15" thickBot="1" x14ac:dyDescent="0.4">
      <c r="A345" s="88" t="s">
        <v>213</v>
      </c>
      <c r="B345" s="246">
        <f t="shared" ref="B345:D345" si="197">SUM(B286,B291,B296,B301,B306,B311,B316,B321,B326,B331,B336)</f>
        <v>4735</v>
      </c>
      <c r="C345" s="246">
        <f t="shared" si="197"/>
        <v>6100</v>
      </c>
      <c r="D345" s="246">
        <f t="shared" si="197"/>
        <v>3781</v>
      </c>
      <c r="E345" s="246">
        <f>SUM(E291, E296, E316, E321, E331, E340)</f>
        <v>10305</v>
      </c>
      <c r="F345" s="275">
        <f>SUM(F291,F296,F311,F316,F321,F326,F331,F336,F340)</f>
        <v>8585</v>
      </c>
      <c r="G345" s="276">
        <v>118</v>
      </c>
      <c r="H345" s="277">
        <v>118</v>
      </c>
      <c r="I345" s="53"/>
      <c r="J345" s="376">
        <f>SUM(J286,J291,J296,J301,J306,J311,J316,J321,J326,J331,J336)</f>
        <v>2641</v>
      </c>
      <c r="K345" s="185">
        <v>149</v>
      </c>
      <c r="M345" s="278">
        <v>149</v>
      </c>
    </row>
    <row r="346" spans="1:13" ht="15" thickBot="1" x14ac:dyDescent="0.4">
      <c r="A346" s="75" t="s">
        <v>214</v>
      </c>
      <c r="B346" s="345">
        <f t="shared" ref="B346:D346" si="198">SUM(B343-B344-B345)</f>
        <v>34677</v>
      </c>
      <c r="C346" s="345">
        <f t="shared" si="198"/>
        <v>25000</v>
      </c>
      <c r="D346" s="345">
        <f t="shared" si="198"/>
        <v>37773</v>
      </c>
      <c r="E346" s="345">
        <f t="shared" ref="E346:K346" si="199">SUM(E343-E344-E345)</f>
        <v>38250</v>
      </c>
      <c r="F346" s="312">
        <f t="shared" si="199"/>
        <v>27990</v>
      </c>
      <c r="G346" s="346">
        <f t="shared" ref="G346" si="200">SUM(G343-G344-G345)</f>
        <v>-1989</v>
      </c>
      <c r="H346" s="347">
        <f t="shared" si="199"/>
        <v>-1989</v>
      </c>
      <c r="I346" s="53"/>
      <c r="J346" s="404">
        <f t="shared" ref="J346" si="201">SUM(J343-J344-J345)</f>
        <v>44748</v>
      </c>
      <c r="K346" s="366">
        <f t="shared" si="199"/>
        <v>-2020</v>
      </c>
      <c r="L346" s="407"/>
      <c r="M346" s="406">
        <f t="shared" ref="M346" si="202">SUM(M343-M344-M345)</f>
        <v>-2020</v>
      </c>
    </row>
  </sheetData>
  <pageMargins left="0.25" right="0.25" top="0.75" bottom="0.75" header="0.3" footer="0.3"/>
  <pageSetup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4.5" x14ac:dyDescent="0.35"/>
  <cols>
    <col min="1" max="1" width="33.36328125" customWidth="1"/>
    <col min="2" max="2" width="12.08984375" bestFit="1" customWidth="1"/>
  </cols>
  <sheetData>
    <row r="1" spans="1:2" x14ac:dyDescent="0.35">
      <c r="A1" s="1" t="s">
        <v>280</v>
      </c>
    </row>
    <row r="3" spans="1:2" x14ac:dyDescent="0.35">
      <c r="A3" s="36" t="s">
        <v>286</v>
      </c>
      <c r="B3" s="37">
        <v>281372</v>
      </c>
    </row>
    <row r="4" spans="1:2" x14ac:dyDescent="0.35">
      <c r="A4" s="36" t="s">
        <v>272</v>
      </c>
      <c r="B4" s="37">
        <v>11550</v>
      </c>
    </row>
    <row r="5" spans="1:2" x14ac:dyDescent="0.35">
      <c r="A5" s="36" t="s">
        <v>278</v>
      </c>
      <c r="B5" s="37">
        <v>-1447</v>
      </c>
    </row>
    <row r="6" spans="1:2" ht="15" thickBot="1" x14ac:dyDescent="0.4">
      <c r="A6" s="403" t="s">
        <v>287</v>
      </c>
      <c r="B6" s="38">
        <v>-14000</v>
      </c>
    </row>
    <row r="7" spans="1:2" ht="15" thickBot="1" x14ac:dyDescent="0.4">
      <c r="A7" s="39" t="s">
        <v>288</v>
      </c>
      <c r="B7" s="40">
        <f>SUM(B3:B6)</f>
        <v>277475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>
      <selection activeCell="B7" sqref="B7"/>
    </sheetView>
  </sheetViews>
  <sheetFormatPr defaultRowHeight="14.5" x14ac:dyDescent="0.35"/>
  <cols>
    <col min="1" max="1" width="78.7265625" customWidth="1"/>
    <col min="2" max="2" width="15.7265625" style="3" customWidth="1"/>
    <col min="3" max="3" width="2.6328125" customWidth="1"/>
    <col min="4" max="4" width="19.54296875" customWidth="1"/>
    <col min="5" max="5" width="55.6328125" customWidth="1"/>
    <col min="6" max="6" width="49.26953125" customWidth="1"/>
    <col min="7" max="7" width="14" customWidth="1"/>
  </cols>
  <sheetData>
    <row r="2" spans="1:4" x14ac:dyDescent="0.35">
      <c r="A2" s="28" t="s">
        <v>273</v>
      </c>
      <c r="B2" s="5"/>
    </row>
    <row r="3" spans="1:4" x14ac:dyDescent="0.35">
      <c r="A3" s="29" t="s">
        <v>282</v>
      </c>
      <c r="B3" s="4">
        <v>277475</v>
      </c>
      <c r="D3" s="3"/>
    </row>
    <row r="4" spans="1:4" x14ac:dyDescent="0.35">
      <c r="A4" s="29" t="s">
        <v>281</v>
      </c>
      <c r="B4" s="4">
        <v>20170</v>
      </c>
      <c r="D4" s="3"/>
    </row>
    <row r="5" spans="1:4" x14ac:dyDescent="0.35">
      <c r="A5" s="30" t="s">
        <v>240</v>
      </c>
      <c r="B5" s="31">
        <f>SUM(B3:B4)</f>
        <v>297645</v>
      </c>
      <c r="D5" s="33"/>
    </row>
    <row r="6" spans="1:4" x14ac:dyDescent="0.35">
      <c r="A6" s="29" t="s">
        <v>275</v>
      </c>
      <c r="B6" s="4">
        <v>-93046</v>
      </c>
      <c r="D6" s="3"/>
    </row>
    <row r="7" spans="1:4" x14ac:dyDescent="0.35">
      <c r="A7" s="32" t="s">
        <v>291</v>
      </c>
      <c r="B7" s="31">
        <f>SUM(B5:B6)</f>
        <v>204599</v>
      </c>
      <c r="C7" t="s">
        <v>274</v>
      </c>
      <c r="D7" s="33"/>
    </row>
    <row r="8" spans="1:4" x14ac:dyDescent="0.35">
      <c r="A8" s="34"/>
      <c r="B8" s="35"/>
    </row>
    <row r="9" spans="1:4" x14ac:dyDescent="0.35">
      <c r="A9" s="41" t="s">
        <v>279</v>
      </c>
      <c r="B9" s="35"/>
    </row>
    <row r="10" spans="1:4" x14ac:dyDescent="0.35">
      <c r="A10" s="42">
        <v>3</v>
      </c>
      <c r="B10" s="43"/>
    </row>
    <row r="11" spans="1:4" x14ac:dyDescent="0.35">
      <c r="A11" s="45"/>
      <c r="B11" s="46"/>
    </row>
    <row r="12" spans="1:4" x14ac:dyDescent="0.35">
      <c r="A12" s="42"/>
      <c r="B12" s="43"/>
    </row>
    <row r="13" spans="1:4" x14ac:dyDescent="0.35">
      <c r="A13" s="42"/>
      <c r="B13" s="43"/>
    </row>
    <row r="14" spans="1:4" x14ac:dyDescent="0.35">
      <c r="A14" s="47"/>
      <c r="B14" s="48"/>
    </row>
    <row r="15" spans="1:4" x14ac:dyDescent="0.35">
      <c r="A15" s="42"/>
      <c r="B15" s="43"/>
    </row>
    <row r="16" spans="1:4" x14ac:dyDescent="0.35">
      <c r="A16" s="49"/>
      <c r="B16" s="48"/>
    </row>
    <row r="17" spans="1:2" x14ac:dyDescent="0.35">
      <c r="A17" s="50"/>
      <c r="B17" s="50"/>
    </row>
    <row r="18" spans="1:2" x14ac:dyDescent="0.35">
      <c r="A18" s="44"/>
      <c r="B18" s="44"/>
    </row>
    <row r="19" spans="1:2" x14ac:dyDescent="0.35">
      <c r="A19" s="44"/>
      <c r="B19" s="44"/>
    </row>
    <row r="20" spans="1:2" x14ac:dyDescent="0.35">
      <c r="B20"/>
    </row>
    <row r="21" spans="1:2" x14ac:dyDescent="0.35">
      <c r="B21"/>
    </row>
    <row r="22" spans="1:2" x14ac:dyDescent="0.35">
      <c r="B22"/>
    </row>
    <row r="23" spans="1:2" x14ac:dyDescent="0.35">
      <c r="B23"/>
    </row>
    <row r="24" spans="1:2" x14ac:dyDescent="0.35">
      <c r="B24"/>
    </row>
    <row r="25" spans="1:2" x14ac:dyDescent="0.35">
      <c r="B25"/>
    </row>
    <row r="26" spans="1:2" x14ac:dyDescent="0.35">
      <c r="B26"/>
    </row>
    <row r="27" spans="1:2" x14ac:dyDescent="0.35">
      <c r="B27"/>
    </row>
    <row r="28" spans="1:2" x14ac:dyDescent="0.35">
      <c r="B28"/>
    </row>
    <row r="29" spans="1:2" x14ac:dyDescent="0.35">
      <c r="B29"/>
    </row>
    <row r="30" spans="1:2" x14ac:dyDescent="0.35">
      <c r="B30"/>
    </row>
    <row r="31" spans="1:2" x14ac:dyDescent="0.35">
      <c r="B31"/>
    </row>
    <row r="32" spans="1:2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  <row r="39" spans="2:2" x14ac:dyDescent="0.35">
      <c r="B39"/>
    </row>
    <row r="40" spans="2:2" x14ac:dyDescent="0.35">
      <c r="B40"/>
    </row>
    <row r="41" spans="2:2" x14ac:dyDescent="0.35">
      <c r="B41"/>
    </row>
    <row r="42" spans="2:2" x14ac:dyDescent="0.35">
      <c r="B42"/>
    </row>
    <row r="43" spans="2:2" x14ac:dyDescent="0.35">
      <c r="B43"/>
    </row>
    <row r="44" spans="2:2" x14ac:dyDescent="0.35">
      <c r="B44"/>
    </row>
    <row r="45" spans="2:2" x14ac:dyDescent="0.35">
      <c r="B45"/>
    </row>
    <row r="46" spans="2:2" x14ac:dyDescent="0.35">
      <c r="B46"/>
    </row>
    <row r="47" spans="2:2" x14ac:dyDescent="0.35">
      <c r="B47"/>
    </row>
    <row r="48" spans="2:2" x14ac:dyDescent="0.35">
      <c r="B48"/>
    </row>
    <row r="49" spans="2:2" x14ac:dyDescent="0.35">
      <c r="B4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8" customWidth="1"/>
    <col min="2" max="2" width="23.08984375" style="8" customWidth="1"/>
    <col min="3" max="3" width="12.54296875" style="8" bestFit="1" customWidth="1"/>
    <col min="4" max="4" width="23.6328125" style="8" customWidth="1"/>
    <col min="5" max="5" width="24.36328125" style="8" customWidth="1"/>
    <col min="6" max="6" width="30.36328125" style="8" customWidth="1"/>
    <col min="7" max="16384" width="11.81640625" style="8"/>
  </cols>
  <sheetData>
    <row r="1" spans="1:6" s="7" customFormat="1" ht="46.5" x14ac:dyDescent="0.35">
      <c r="A1" s="27" t="s">
        <v>243</v>
      </c>
      <c r="B1" s="27" t="s">
        <v>244</v>
      </c>
      <c r="C1" s="27" t="s">
        <v>245</v>
      </c>
      <c r="D1" s="27" t="s">
        <v>246</v>
      </c>
      <c r="E1" s="6"/>
      <c r="F1" s="6"/>
    </row>
    <row r="2" spans="1:6" x14ac:dyDescent="0.35">
      <c r="A2" s="24" t="s">
        <v>247</v>
      </c>
      <c r="B2" s="14"/>
      <c r="C2" s="14"/>
      <c r="D2" s="14"/>
    </row>
    <row r="3" spans="1:6" x14ac:dyDescent="0.35">
      <c r="A3" s="14" t="s">
        <v>248</v>
      </c>
      <c r="B3" s="15" t="s">
        <v>249</v>
      </c>
      <c r="C3" s="15"/>
      <c r="D3" s="15">
        <v>18000</v>
      </c>
      <c r="E3" s="9"/>
      <c r="F3" s="9"/>
    </row>
    <row r="4" spans="1:6" x14ac:dyDescent="0.35">
      <c r="A4" s="14" t="s">
        <v>250</v>
      </c>
      <c r="B4" s="15" t="s">
        <v>251</v>
      </c>
      <c r="C4" s="15"/>
      <c r="D4" s="16">
        <v>11700</v>
      </c>
      <c r="E4" s="10"/>
      <c r="F4" s="10"/>
    </row>
    <row r="5" spans="1:6" x14ac:dyDescent="0.35">
      <c r="A5" s="14"/>
      <c r="B5" s="15"/>
      <c r="C5" s="17"/>
      <c r="D5" s="17">
        <f>D3-D4</f>
        <v>6300</v>
      </c>
      <c r="E5" s="11"/>
      <c r="F5" s="11"/>
    </row>
    <row r="6" spans="1:6" x14ac:dyDescent="0.35">
      <c r="A6" s="24" t="s">
        <v>252</v>
      </c>
      <c r="B6" s="15"/>
      <c r="C6" s="15"/>
      <c r="D6" s="15"/>
      <c r="E6" s="9"/>
      <c r="F6" s="9"/>
    </row>
    <row r="7" spans="1:6" x14ac:dyDescent="0.35">
      <c r="A7" s="14" t="s">
        <v>253</v>
      </c>
      <c r="B7" s="15" t="s">
        <v>249</v>
      </c>
      <c r="C7" s="15"/>
      <c r="D7" s="15">
        <v>121500</v>
      </c>
      <c r="E7" s="9"/>
      <c r="F7" s="9"/>
    </row>
    <row r="8" spans="1:6" x14ac:dyDescent="0.35">
      <c r="A8" s="14" t="s">
        <v>254</v>
      </c>
      <c r="B8" s="15" t="s">
        <v>255</v>
      </c>
      <c r="C8" s="15"/>
      <c r="D8" s="16">
        <v>20900</v>
      </c>
      <c r="E8" s="10"/>
      <c r="F8" s="10"/>
    </row>
    <row r="9" spans="1:6" x14ac:dyDescent="0.35">
      <c r="A9" s="14"/>
      <c r="B9" s="15"/>
      <c r="C9" s="17"/>
      <c r="D9" s="17">
        <f>D7-D8</f>
        <v>100600</v>
      </c>
      <c r="E9" s="11"/>
      <c r="F9" s="11"/>
    </row>
    <row r="10" spans="1:6" x14ac:dyDescent="0.35">
      <c r="A10" s="14"/>
      <c r="B10" s="15"/>
      <c r="C10" s="15"/>
      <c r="D10" s="15"/>
      <c r="E10" s="9"/>
      <c r="F10" s="9"/>
    </row>
    <row r="11" spans="1:6" x14ac:dyDescent="0.35">
      <c r="A11" s="24" t="s">
        <v>256</v>
      </c>
      <c r="B11" s="15"/>
      <c r="C11" s="15"/>
      <c r="F11" s="9"/>
    </row>
    <row r="12" spans="1:6" x14ac:dyDescent="0.35">
      <c r="A12" s="14" t="s">
        <v>257</v>
      </c>
      <c r="B12" s="15" t="s">
        <v>249</v>
      </c>
      <c r="C12" s="15"/>
      <c r="D12" s="15">
        <v>25920</v>
      </c>
      <c r="F12" s="10"/>
    </row>
    <row r="13" spans="1:6" x14ac:dyDescent="0.35">
      <c r="A13" s="14" t="s">
        <v>258</v>
      </c>
      <c r="B13" s="15" t="s">
        <v>251</v>
      </c>
      <c r="C13" s="17"/>
      <c r="D13" s="16">
        <v>19180</v>
      </c>
      <c r="F13" s="11"/>
    </row>
    <row r="14" spans="1:6" x14ac:dyDescent="0.35">
      <c r="A14" s="14"/>
      <c r="B14" s="15"/>
      <c r="C14" s="15"/>
      <c r="D14" s="17">
        <f>SUM(D12-D13)</f>
        <v>6740</v>
      </c>
      <c r="E14" s="9"/>
      <c r="F14" s="9"/>
    </row>
    <row r="15" spans="1:6" x14ac:dyDescent="0.35">
      <c r="A15" s="14"/>
      <c r="B15" s="15"/>
      <c r="C15" s="15"/>
      <c r="D15" s="15"/>
      <c r="E15" s="9"/>
      <c r="F15" s="9"/>
    </row>
    <row r="16" spans="1:6" x14ac:dyDescent="0.35">
      <c r="A16" s="14"/>
      <c r="B16" s="15"/>
      <c r="C16" s="15"/>
      <c r="D16" s="15"/>
      <c r="E16" s="9"/>
      <c r="F16" s="10"/>
    </row>
    <row r="17" spans="1:6" x14ac:dyDescent="0.35">
      <c r="A17" s="14"/>
      <c r="B17" s="15"/>
      <c r="C17" s="15"/>
      <c r="D17" s="17"/>
      <c r="E17" s="11"/>
      <c r="F17" s="11"/>
    </row>
    <row r="18" spans="1:6" x14ac:dyDescent="0.35">
      <c r="A18" s="14"/>
      <c r="B18" s="15"/>
      <c r="C18" s="15"/>
      <c r="D18" s="15"/>
      <c r="E18" s="9"/>
      <c r="F18" s="9"/>
    </row>
    <row r="19" spans="1:6" x14ac:dyDescent="0.35">
      <c r="A19" s="18" t="s">
        <v>259</v>
      </c>
      <c r="B19" s="19"/>
      <c r="C19" s="19">
        <f>SUM(C5,C9,C13,C17)</f>
        <v>0</v>
      </c>
      <c r="D19" s="20">
        <f>SUM(D5,D9,D14,D17)</f>
        <v>113640</v>
      </c>
      <c r="E19" s="9"/>
      <c r="F19" s="9"/>
    </row>
    <row r="20" spans="1:6" x14ac:dyDescent="0.35">
      <c r="A20" s="14"/>
      <c r="B20" s="15"/>
      <c r="C20" s="15"/>
      <c r="D20" s="15"/>
      <c r="E20" s="9"/>
      <c r="F20" s="9"/>
    </row>
    <row r="21" spans="1:6" x14ac:dyDescent="0.35">
      <c r="A21" s="14" t="s">
        <v>260</v>
      </c>
      <c r="B21" s="21" t="s">
        <v>261</v>
      </c>
      <c r="C21" s="15">
        <v>50207</v>
      </c>
      <c r="D21" s="15">
        <v>50207</v>
      </c>
      <c r="E21" s="9"/>
      <c r="F21" s="9"/>
    </row>
    <row r="22" spans="1:6" x14ac:dyDescent="0.35">
      <c r="A22" s="14" t="s">
        <v>262</v>
      </c>
      <c r="B22" s="15"/>
      <c r="C22" s="15">
        <v>66301</v>
      </c>
      <c r="D22" s="15">
        <f t="shared" ref="D22:D26" si="0">$C22</f>
        <v>66301</v>
      </c>
      <c r="E22" s="9"/>
      <c r="F22" s="9"/>
    </row>
    <row r="23" spans="1:6" x14ac:dyDescent="0.35">
      <c r="A23" s="14" t="s">
        <v>263</v>
      </c>
      <c r="B23" s="15" t="s">
        <v>268</v>
      </c>
      <c r="C23" s="15">
        <v>39000</v>
      </c>
      <c r="D23" s="15">
        <f t="shared" si="0"/>
        <v>39000</v>
      </c>
      <c r="E23" s="9"/>
      <c r="F23" s="9"/>
    </row>
    <row r="24" spans="1:6" x14ac:dyDescent="0.35">
      <c r="A24" s="14" t="s">
        <v>264</v>
      </c>
      <c r="B24" s="15"/>
      <c r="C24" s="15">
        <v>7359</v>
      </c>
      <c r="D24" s="15">
        <f t="shared" si="0"/>
        <v>7359</v>
      </c>
      <c r="E24" s="9"/>
      <c r="F24" s="9"/>
    </row>
    <row r="25" spans="1:6" x14ac:dyDescent="0.35">
      <c r="A25" s="14" t="s">
        <v>265</v>
      </c>
      <c r="B25" s="15"/>
      <c r="C25" s="15">
        <v>37200</v>
      </c>
      <c r="D25" s="15">
        <f t="shared" si="0"/>
        <v>37200</v>
      </c>
      <c r="E25" s="9"/>
      <c r="F25" s="9"/>
    </row>
    <row r="26" spans="1:6" x14ac:dyDescent="0.35">
      <c r="A26" s="14"/>
      <c r="B26" s="15"/>
      <c r="C26" s="15"/>
      <c r="D26" s="15">
        <f t="shared" si="0"/>
        <v>0</v>
      </c>
      <c r="E26" s="9"/>
      <c r="F26" s="9"/>
    </row>
    <row r="27" spans="1:6" x14ac:dyDescent="0.35">
      <c r="A27" s="14"/>
      <c r="B27" s="15"/>
      <c r="C27" s="16"/>
      <c r="D27" s="16"/>
      <c r="E27" s="10"/>
      <c r="F27" s="10"/>
    </row>
    <row r="28" spans="1:6" x14ac:dyDescent="0.35">
      <c r="A28" s="18" t="s">
        <v>266</v>
      </c>
      <c r="B28" s="19"/>
      <c r="C28" s="22">
        <f>SUM(C21:C27)</f>
        <v>200067</v>
      </c>
      <c r="D28" s="23">
        <f t="shared" ref="D28" si="1">SUM(D21:D27)</f>
        <v>200067</v>
      </c>
      <c r="E28" s="11"/>
      <c r="F28" s="11"/>
    </row>
    <row r="29" spans="1:6" x14ac:dyDescent="0.35">
      <c r="A29" s="14"/>
      <c r="B29" s="14"/>
      <c r="C29" s="14"/>
      <c r="D29" s="14"/>
    </row>
    <row r="30" spans="1:6" s="12" customFormat="1" ht="16" thickBot="1" x14ac:dyDescent="0.4">
      <c r="A30" s="25" t="s">
        <v>267</v>
      </c>
      <c r="B30" s="25"/>
      <c r="C30" s="26">
        <f>C19-C28</f>
        <v>-200067</v>
      </c>
      <c r="D30" s="26">
        <f t="shared" ref="D30" si="2">D19-D28</f>
        <v>-86427</v>
      </c>
      <c r="E30" s="13"/>
      <c r="F30" s="13"/>
    </row>
    <row r="31" spans="1:6" ht="16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</vt:lpstr>
      <vt:lpstr>Funds on Hand to Date</vt:lpstr>
      <vt:lpstr>Cash flow report through year</vt:lpstr>
      <vt:lpstr>12 week burn of expenses</vt:lpstr>
      <vt:lpstr>'Financials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2021-01-11T18:40:53Z</cp:lastPrinted>
  <dcterms:created xsi:type="dcterms:W3CDTF">2019-05-16T23:45:36Z</dcterms:created>
  <dcterms:modified xsi:type="dcterms:W3CDTF">2021-03-08T23:20:15Z</dcterms:modified>
</cp:coreProperties>
</file>