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950" windowWidth="16220" windowHeight="7170"/>
  </bookViews>
  <sheets>
    <sheet name="Financials " sheetId="1" r:id="rId1"/>
    <sheet name="Funds on Hand to Date" sheetId="6" r:id="rId2"/>
    <sheet name="Cash flow report through year" sheetId="3" r:id="rId3"/>
    <sheet name="12 week burn of expenses" sheetId="5" state="hidden" r:id="rId4"/>
  </sheets>
  <definedNames>
    <definedName name="_xlnm.Print_Titles" localSheetId="0">'Financials '!$5:$7</definedName>
  </definedNames>
  <calcPr calcId="145621"/>
</workbook>
</file>

<file path=xl/calcChain.xml><?xml version="1.0" encoding="utf-8"?>
<calcChain xmlns="http://schemas.openxmlformats.org/spreadsheetml/2006/main">
  <c r="B5" i="3" l="1"/>
  <c r="J135" i="1"/>
  <c r="J133" i="1"/>
  <c r="J136" i="1"/>
  <c r="B7" i="3"/>
  <c r="I85" i="1"/>
  <c r="I187" i="1"/>
  <c r="I144" i="1"/>
  <c r="J130" i="1"/>
  <c r="B7" i="6"/>
  <c r="I343" i="1"/>
  <c r="I346" i="1"/>
  <c r="I337" i="1"/>
  <c r="I332" i="1"/>
  <c r="I327" i="1"/>
  <c r="I322" i="1"/>
  <c r="I312" i="1"/>
  <c r="I278" i="1"/>
  <c r="I37" i="1"/>
  <c r="I246" i="1"/>
  <c r="I39" i="1"/>
  <c r="I42" i="1" s="1"/>
  <c r="I45" i="1" s="1"/>
  <c r="I47" i="1" s="1"/>
  <c r="I227" i="1"/>
  <c r="I31" i="1"/>
  <c r="I226" i="1"/>
  <c r="I229" i="1"/>
  <c r="I223" i="1"/>
  <c r="I219" i="1"/>
  <c r="I215" i="1"/>
  <c r="I207" i="1"/>
  <c r="I23" i="1"/>
  <c r="I203" i="1"/>
  <c r="I191" i="1"/>
  <c r="I183" i="1"/>
  <c r="I178" i="1"/>
  <c r="I173" i="1"/>
  <c r="I164" i="1"/>
  <c r="I19" i="1"/>
  <c r="I163" i="1"/>
  <c r="I160" i="1"/>
  <c r="I156" i="1"/>
  <c r="I152" i="1"/>
  <c r="I148" i="1"/>
  <c r="I135" i="1"/>
  <c r="I15" i="1"/>
  <c r="I133" i="1"/>
  <c r="I130" i="1"/>
  <c r="I123" i="1"/>
  <c r="I116" i="1"/>
  <c r="I110" i="1"/>
  <c r="I99" i="1"/>
  <c r="I11" i="1"/>
  <c r="I98" i="1"/>
  <c r="I81" i="1"/>
  <c r="I77" i="1"/>
  <c r="I72" i="1"/>
  <c r="I66" i="1"/>
  <c r="I60" i="1"/>
  <c r="J31" i="1"/>
  <c r="J60" i="1"/>
  <c r="J66" i="1"/>
  <c r="J72" i="1"/>
  <c r="J77" i="1"/>
  <c r="J81" i="1"/>
  <c r="J85" i="1"/>
  <c r="J95" i="1"/>
  <c r="J98" i="1"/>
  <c r="J10" i="1"/>
  <c r="J99" i="1"/>
  <c r="J110" i="1"/>
  <c r="J116" i="1"/>
  <c r="J123" i="1"/>
  <c r="J14" i="1"/>
  <c r="J144" i="1"/>
  <c r="J148" i="1"/>
  <c r="J152" i="1"/>
  <c r="J156" i="1"/>
  <c r="J160" i="1"/>
  <c r="J163" i="1"/>
  <c r="J18" i="1"/>
  <c r="J164" i="1"/>
  <c r="J19" i="1"/>
  <c r="J173" i="1"/>
  <c r="J178" i="1"/>
  <c r="J183" i="1"/>
  <c r="J187" i="1"/>
  <c r="J191" i="1"/>
  <c r="J195" i="1"/>
  <c r="J199" i="1"/>
  <c r="J203" i="1"/>
  <c r="J206" i="1"/>
  <c r="J22" i="1"/>
  <c r="J207" i="1"/>
  <c r="J23" i="1"/>
  <c r="J215" i="1"/>
  <c r="J219" i="1"/>
  <c r="J223" i="1"/>
  <c r="J226" i="1"/>
  <c r="J30" i="1"/>
  <c r="J32" i="1"/>
  <c r="J227" i="1"/>
  <c r="J246" i="1"/>
  <c r="J39" i="1"/>
  <c r="J278" i="1"/>
  <c r="J37" i="1"/>
  <c r="J292" i="1"/>
  <c r="J297" i="1"/>
  <c r="J312" i="1"/>
  <c r="J317" i="1"/>
  <c r="J327" i="1"/>
  <c r="J332" i="1"/>
  <c r="J341" i="1"/>
  <c r="J343" i="1"/>
  <c r="J346" i="1"/>
  <c r="J344" i="1"/>
  <c r="I30" i="1"/>
  <c r="I18" i="1"/>
  <c r="I20" i="1"/>
  <c r="I136" i="1"/>
  <c r="I100" i="1"/>
  <c r="J229" i="1"/>
  <c r="I32" i="1"/>
  <c r="J100" i="1"/>
  <c r="I35" i="1"/>
  <c r="J165" i="1"/>
  <c r="I14" i="1"/>
  <c r="I16" i="1"/>
  <c r="J11" i="1"/>
  <c r="J12" i="1"/>
  <c r="I165" i="1"/>
  <c r="I10" i="1"/>
  <c r="I12" i="1"/>
  <c r="J24" i="1"/>
  <c r="J34" i="1"/>
  <c r="J20" i="1"/>
  <c r="J208" i="1"/>
  <c r="J15" i="1"/>
  <c r="J35" i="1"/>
  <c r="J36" i="1"/>
  <c r="J42" i="1"/>
  <c r="J45" i="1"/>
  <c r="J47" i="1"/>
  <c r="I206" i="1"/>
  <c r="I195" i="1"/>
  <c r="J16" i="1"/>
  <c r="I22" i="1"/>
  <c r="I208" i="1"/>
  <c r="I24" i="1"/>
  <c r="I34" i="1"/>
  <c r="I36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G278" i="1"/>
  <c r="G246" i="1"/>
  <c r="G343" i="1"/>
  <c r="G346" i="1"/>
  <c r="G337" i="1"/>
  <c r="G332" i="1"/>
  <c r="G327" i="1"/>
  <c r="G322" i="1"/>
  <c r="G312" i="1"/>
  <c r="G37" i="1"/>
  <c r="G39" i="1"/>
  <c r="G227" i="1"/>
  <c r="G31" i="1"/>
  <c r="G226" i="1"/>
  <c r="G223" i="1"/>
  <c r="G219" i="1"/>
  <c r="G215" i="1"/>
  <c r="G203" i="1"/>
  <c r="G194" i="1"/>
  <c r="G207" i="1"/>
  <c r="G23" i="1"/>
  <c r="G191" i="1"/>
  <c r="G183" i="1"/>
  <c r="G173" i="1"/>
  <c r="G164" i="1"/>
  <c r="G19" i="1"/>
  <c r="G163" i="1"/>
  <c r="G18" i="1"/>
  <c r="G160" i="1"/>
  <c r="G156" i="1"/>
  <c r="G152" i="1"/>
  <c r="G148" i="1"/>
  <c r="G135" i="1"/>
  <c r="G15" i="1"/>
  <c r="G133" i="1"/>
  <c r="G14" i="1"/>
  <c r="G130" i="1"/>
  <c r="G123" i="1"/>
  <c r="G116" i="1"/>
  <c r="G110" i="1"/>
  <c r="G99" i="1"/>
  <c r="G11" i="1"/>
  <c r="G98" i="1"/>
  <c r="G81" i="1"/>
  <c r="G77" i="1"/>
  <c r="G66" i="1"/>
  <c r="G60" i="1"/>
  <c r="G229" i="1"/>
  <c r="G100" i="1"/>
  <c r="G193" i="1"/>
  <c r="G206" i="1"/>
  <c r="G208" i="1"/>
  <c r="G20" i="1"/>
  <c r="G10" i="1"/>
  <c r="G12" i="1"/>
  <c r="G165" i="1"/>
  <c r="G136" i="1"/>
  <c r="G35" i="1"/>
  <c r="G30" i="1"/>
  <c r="G32" i="1"/>
  <c r="G16" i="1"/>
  <c r="G22" i="1"/>
  <c r="G24" i="1"/>
  <c r="G195" i="1"/>
  <c r="G34" i="1"/>
  <c r="G36" i="1"/>
  <c r="G42" i="1"/>
  <c r="G45" i="1"/>
  <c r="G47" i="1"/>
  <c r="H123" i="1"/>
  <c r="H116" i="1"/>
  <c r="H194" i="1"/>
  <c r="H343" i="1"/>
  <c r="H346" i="1"/>
  <c r="H193" i="1"/>
  <c r="H195" i="1"/>
  <c r="H135" i="1"/>
  <c r="H178" i="1"/>
  <c r="H152" i="1"/>
  <c r="K297" i="1"/>
  <c r="K66" i="1"/>
  <c r="H148" i="1"/>
  <c r="F144" i="1"/>
  <c r="E345" i="1"/>
  <c r="E344" i="1"/>
  <c r="E343" i="1"/>
  <c r="E341" i="1"/>
  <c r="E337" i="1"/>
  <c r="E332" i="1"/>
  <c r="E327" i="1"/>
  <c r="E322" i="1"/>
  <c r="E317" i="1"/>
  <c r="E312" i="1"/>
  <c r="E297" i="1"/>
  <c r="E292" i="1"/>
  <c r="E278" i="1"/>
  <c r="E37" i="1"/>
  <c r="E246" i="1"/>
  <c r="E39" i="1"/>
  <c r="E227" i="1"/>
  <c r="E31" i="1"/>
  <c r="E226" i="1"/>
  <c r="E223" i="1"/>
  <c r="E219" i="1"/>
  <c r="E215" i="1"/>
  <c r="E207" i="1"/>
  <c r="E23" i="1"/>
  <c r="E206" i="1"/>
  <c r="E203" i="1"/>
  <c r="E199" i="1"/>
  <c r="E195" i="1"/>
  <c r="E191" i="1"/>
  <c r="E187" i="1"/>
  <c r="E183" i="1"/>
  <c r="E178" i="1"/>
  <c r="E164" i="1"/>
  <c r="E19" i="1"/>
  <c r="E163" i="1"/>
  <c r="E160" i="1"/>
  <c r="E156" i="1"/>
  <c r="E152" i="1"/>
  <c r="E148" i="1"/>
  <c r="E144" i="1"/>
  <c r="E135" i="1"/>
  <c r="E15" i="1"/>
  <c r="E133" i="1"/>
  <c r="E14" i="1"/>
  <c r="E130" i="1"/>
  <c r="E123" i="1"/>
  <c r="E116" i="1"/>
  <c r="E110" i="1"/>
  <c r="E99" i="1"/>
  <c r="E11" i="1"/>
  <c r="E98" i="1"/>
  <c r="E10" i="1"/>
  <c r="E95" i="1"/>
  <c r="E90" i="1"/>
  <c r="E85" i="1"/>
  <c r="E81" i="1"/>
  <c r="E77" i="1"/>
  <c r="E72" i="1"/>
  <c r="E66" i="1"/>
  <c r="E60" i="1"/>
  <c r="E30" i="1"/>
  <c r="E18" i="1"/>
  <c r="E16" i="1"/>
  <c r="E229" i="1"/>
  <c r="E35" i="1"/>
  <c r="E165" i="1"/>
  <c r="E32" i="1"/>
  <c r="E346" i="1"/>
  <c r="E20" i="1"/>
  <c r="E136" i="1"/>
  <c r="E208" i="1"/>
  <c r="E12" i="1"/>
  <c r="E100" i="1"/>
  <c r="E22" i="1"/>
  <c r="E24" i="1"/>
  <c r="K345" i="1"/>
  <c r="K344" i="1"/>
  <c r="K343" i="1"/>
  <c r="K341" i="1"/>
  <c r="K337" i="1"/>
  <c r="K332" i="1"/>
  <c r="K327" i="1"/>
  <c r="K322" i="1"/>
  <c r="K317" i="1"/>
  <c r="K312" i="1"/>
  <c r="K307" i="1"/>
  <c r="K302" i="1"/>
  <c r="K292" i="1"/>
  <c r="K287" i="1"/>
  <c r="K278" i="1"/>
  <c r="K37" i="1" s="1"/>
  <c r="K246" i="1"/>
  <c r="K39" i="1" s="1"/>
  <c r="K227" i="1"/>
  <c r="K31" i="1" s="1"/>
  <c r="K226" i="1"/>
  <c r="K229" i="1" s="1"/>
  <c r="K30" i="1"/>
  <c r="K223" i="1"/>
  <c r="K219" i="1"/>
  <c r="K215" i="1"/>
  <c r="K207" i="1"/>
  <c r="K208" i="1" s="1"/>
  <c r="K206" i="1"/>
  <c r="K22" i="1" s="1"/>
  <c r="K203" i="1"/>
  <c r="K199" i="1"/>
  <c r="K195" i="1"/>
  <c r="K191" i="1"/>
  <c r="K187" i="1"/>
  <c r="K183" i="1"/>
  <c r="K178" i="1"/>
  <c r="K173" i="1"/>
  <c r="K164" i="1"/>
  <c r="K19" i="1" s="1"/>
  <c r="K20" i="1" s="1"/>
  <c r="K163" i="1"/>
  <c r="K18" i="1"/>
  <c r="K160" i="1"/>
  <c r="K156" i="1"/>
  <c r="K152" i="1"/>
  <c r="K148" i="1"/>
  <c r="K165" i="1" s="1"/>
  <c r="K144" i="1"/>
  <c r="K135" i="1"/>
  <c r="K15" i="1" s="1"/>
  <c r="K133" i="1"/>
  <c r="K14" i="1"/>
  <c r="K130" i="1"/>
  <c r="K123" i="1"/>
  <c r="K116" i="1"/>
  <c r="K110" i="1"/>
  <c r="K99" i="1"/>
  <c r="K11" i="1" s="1"/>
  <c r="K98" i="1"/>
  <c r="K10" i="1" s="1"/>
  <c r="K95" i="1"/>
  <c r="K90" i="1"/>
  <c r="K85" i="1"/>
  <c r="K81" i="1"/>
  <c r="K77" i="1"/>
  <c r="K72" i="1"/>
  <c r="K60" i="1"/>
  <c r="K28" i="1"/>
  <c r="H227" i="1"/>
  <c r="H226" i="1"/>
  <c r="H72" i="1"/>
  <c r="E34" i="1"/>
  <c r="E36" i="1"/>
  <c r="E45" i="1"/>
  <c r="E47" i="1"/>
  <c r="D12" i="1"/>
  <c r="D16" i="1"/>
  <c r="D20" i="1"/>
  <c r="D24" i="1"/>
  <c r="D28" i="1"/>
  <c r="D32" i="1"/>
  <c r="D34" i="1"/>
  <c r="D35" i="1"/>
  <c r="C47" i="1"/>
  <c r="C49" i="1"/>
  <c r="D49" i="1"/>
  <c r="D36" i="1"/>
  <c r="D45" i="1"/>
  <c r="D42" i="1"/>
  <c r="H15" i="1"/>
  <c r="H133" i="1"/>
  <c r="H14" i="1"/>
  <c r="H130" i="1"/>
  <c r="H31" i="1"/>
  <c r="H32" i="1"/>
  <c r="H156" i="1"/>
  <c r="F345" i="1"/>
  <c r="D345" i="1"/>
  <c r="C345" i="1"/>
  <c r="B345" i="1"/>
  <c r="H207" i="1"/>
  <c r="H23" i="1"/>
  <c r="F344" i="1"/>
  <c r="D344" i="1"/>
  <c r="C344" i="1"/>
  <c r="B344" i="1"/>
  <c r="H206" i="1"/>
  <c r="H22" i="1"/>
  <c r="F343" i="1"/>
  <c r="D343" i="1"/>
  <c r="C343" i="1"/>
  <c r="B343" i="1"/>
  <c r="F341" i="1"/>
  <c r="D341" i="1"/>
  <c r="C341" i="1"/>
  <c r="B341" i="1"/>
  <c r="H337" i="1"/>
  <c r="F337" i="1"/>
  <c r="D337" i="1"/>
  <c r="C337" i="1"/>
  <c r="B337" i="1"/>
  <c r="H332" i="1"/>
  <c r="F332" i="1"/>
  <c r="D332" i="1"/>
  <c r="C332" i="1"/>
  <c r="B332" i="1"/>
  <c r="H327" i="1"/>
  <c r="F327" i="1"/>
  <c r="D327" i="1"/>
  <c r="C327" i="1"/>
  <c r="B327" i="1"/>
  <c r="H322" i="1"/>
  <c r="F322" i="1"/>
  <c r="D322" i="1"/>
  <c r="C322" i="1"/>
  <c r="B322" i="1"/>
  <c r="F317" i="1"/>
  <c r="D317" i="1"/>
  <c r="C317" i="1"/>
  <c r="B317" i="1"/>
  <c r="H312" i="1"/>
  <c r="D312" i="1"/>
  <c r="C312" i="1"/>
  <c r="B312" i="1"/>
  <c r="D307" i="1"/>
  <c r="C307" i="1"/>
  <c r="B307" i="1"/>
  <c r="D302" i="1"/>
  <c r="C302" i="1"/>
  <c r="B302" i="1"/>
  <c r="F297" i="1"/>
  <c r="D297" i="1"/>
  <c r="C297" i="1"/>
  <c r="B297" i="1"/>
  <c r="F292" i="1"/>
  <c r="D292" i="1"/>
  <c r="C292" i="1"/>
  <c r="B292" i="1"/>
  <c r="D287" i="1"/>
  <c r="C287" i="1"/>
  <c r="B287" i="1"/>
  <c r="H278" i="1"/>
  <c r="H37" i="1"/>
  <c r="F278" i="1"/>
  <c r="F37" i="1"/>
  <c r="D278" i="1"/>
  <c r="C278" i="1"/>
  <c r="B278" i="1"/>
  <c r="H246" i="1"/>
  <c r="H39" i="1"/>
  <c r="F246" i="1"/>
  <c r="F39" i="1"/>
  <c r="D246" i="1"/>
  <c r="C246" i="1"/>
  <c r="C39" i="1"/>
  <c r="B246" i="1"/>
  <c r="B39" i="1"/>
  <c r="F227" i="1"/>
  <c r="F31" i="1"/>
  <c r="D227" i="1"/>
  <c r="C227" i="1"/>
  <c r="C31" i="1"/>
  <c r="B227" i="1"/>
  <c r="B31" i="1"/>
  <c r="F226" i="1"/>
  <c r="D226" i="1"/>
  <c r="C226" i="1"/>
  <c r="C30" i="1"/>
  <c r="B226" i="1"/>
  <c r="B30" i="1"/>
  <c r="H223" i="1"/>
  <c r="F223" i="1"/>
  <c r="D223" i="1"/>
  <c r="C223" i="1"/>
  <c r="B223" i="1"/>
  <c r="H219" i="1"/>
  <c r="F219" i="1"/>
  <c r="D219" i="1"/>
  <c r="C219" i="1"/>
  <c r="B219" i="1"/>
  <c r="H215" i="1"/>
  <c r="F215" i="1"/>
  <c r="D215" i="1"/>
  <c r="C215" i="1"/>
  <c r="B215" i="1"/>
  <c r="F207" i="1"/>
  <c r="F23" i="1"/>
  <c r="D207" i="1"/>
  <c r="C207" i="1"/>
  <c r="C23" i="1"/>
  <c r="B207" i="1"/>
  <c r="B23" i="1"/>
  <c r="F206" i="1"/>
  <c r="F22" i="1"/>
  <c r="D206" i="1"/>
  <c r="C206" i="1"/>
  <c r="C22" i="1"/>
  <c r="B206" i="1"/>
  <c r="B22" i="1"/>
  <c r="H203" i="1"/>
  <c r="F203" i="1"/>
  <c r="D203" i="1"/>
  <c r="C203" i="1"/>
  <c r="B203" i="1"/>
  <c r="D199" i="1"/>
  <c r="C199" i="1"/>
  <c r="B199" i="1"/>
  <c r="F195" i="1"/>
  <c r="D195" i="1"/>
  <c r="C195" i="1"/>
  <c r="B195" i="1"/>
  <c r="H191" i="1"/>
  <c r="F191" i="1"/>
  <c r="D191" i="1"/>
  <c r="C191" i="1"/>
  <c r="B191" i="1"/>
  <c r="F187" i="1"/>
  <c r="D187" i="1"/>
  <c r="C187" i="1"/>
  <c r="B187" i="1"/>
  <c r="H183" i="1"/>
  <c r="F183" i="1"/>
  <c r="D183" i="1"/>
  <c r="C183" i="1"/>
  <c r="B183" i="1"/>
  <c r="F178" i="1"/>
  <c r="D178" i="1"/>
  <c r="C178" i="1"/>
  <c r="B178" i="1"/>
  <c r="H173" i="1"/>
  <c r="F173" i="1"/>
  <c r="D173" i="1"/>
  <c r="C173" i="1"/>
  <c r="B173" i="1"/>
  <c r="H164" i="1"/>
  <c r="H19" i="1"/>
  <c r="F164" i="1"/>
  <c r="F19" i="1"/>
  <c r="D164" i="1"/>
  <c r="C164" i="1"/>
  <c r="C19" i="1"/>
  <c r="B164" i="1"/>
  <c r="B19" i="1"/>
  <c r="H163" i="1"/>
  <c r="H18" i="1"/>
  <c r="F163" i="1"/>
  <c r="F18" i="1"/>
  <c r="D163" i="1"/>
  <c r="C163" i="1"/>
  <c r="C18" i="1"/>
  <c r="B163" i="1"/>
  <c r="B18" i="1"/>
  <c r="H160" i="1"/>
  <c r="F160" i="1"/>
  <c r="D160" i="1"/>
  <c r="C160" i="1"/>
  <c r="B160" i="1"/>
  <c r="F156" i="1"/>
  <c r="D156" i="1"/>
  <c r="C156" i="1"/>
  <c r="B156" i="1"/>
  <c r="F152" i="1"/>
  <c r="D152" i="1"/>
  <c r="C152" i="1"/>
  <c r="B152" i="1"/>
  <c r="F148" i="1"/>
  <c r="D148" i="1"/>
  <c r="C148" i="1"/>
  <c r="B148" i="1"/>
  <c r="D144" i="1"/>
  <c r="C144" i="1"/>
  <c r="B144" i="1"/>
  <c r="F135" i="1"/>
  <c r="D135" i="1"/>
  <c r="C135" i="1"/>
  <c r="C15" i="1"/>
  <c r="B135" i="1"/>
  <c r="B15" i="1"/>
  <c r="F134" i="1"/>
  <c r="F133" i="1"/>
  <c r="F14" i="1"/>
  <c r="D133" i="1"/>
  <c r="C133" i="1"/>
  <c r="C14" i="1"/>
  <c r="B133" i="1"/>
  <c r="F130" i="1"/>
  <c r="D130" i="1"/>
  <c r="C130" i="1"/>
  <c r="B130" i="1"/>
  <c r="F123" i="1"/>
  <c r="D123" i="1"/>
  <c r="C123" i="1"/>
  <c r="B123" i="1"/>
  <c r="F116" i="1"/>
  <c r="D116" i="1"/>
  <c r="C116" i="1"/>
  <c r="B116" i="1"/>
  <c r="H110" i="1"/>
  <c r="F110" i="1"/>
  <c r="D110" i="1"/>
  <c r="C110" i="1"/>
  <c r="B110" i="1"/>
  <c r="H99" i="1"/>
  <c r="H11" i="1"/>
  <c r="F99" i="1"/>
  <c r="F11" i="1"/>
  <c r="D99" i="1"/>
  <c r="C99" i="1"/>
  <c r="C11" i="1"/>
  <c r="B99" i="1"/>
  <c r="B11" i="1"/>
  <c r="H98" i="1"/>
  <c r="H10" i="1"/>
  <c r="F98" i="1"/>
  <c r="D98" i="1"/>
  <c r="C98" i="1"/>
  <c r="B98" i="1"/>
  <c r="F95" i="1"/>
  <c r="D95" i="1"/>
  <c r="C95" i="1"/>
  <c r="B95" i="1"/>
  <c r="F90" i="1"/>
  <c r="D90" i="1"/>
  <c r="C90" i="1"/>
  <c r="B90" i="1"/>
  <c r="F85" i="1"/>
  <c r="D85" i="1"/>
  <c r="C85" i="1"/>
  <c r="B85" i="1"/>
  <c r="H81" i="1"/>
  <c r="F81" i="1"/>
  <c r="D81" i="1"/>
  <c r="C81" i="1"/>
  <c r="B81" i="1"/>
  <c r="H77" i="1"/>
  <c r="F77" i="1"/>
  <c r="D77" i="1"/>
  <c r="C77" i="1"/>
  <c r="B77" i="1"/>
  <c r="F72" i="1"/>
  <c r="D72" i="1"/>
  <c r="C72" i="1"/>
  <c r="B72" i="1"/>
  <c r="H66" i="1"/>
  <c r="F66" i="1"/>
  <c r="D66" i="1"/>
  <c r="C66" i="1"/>
  <c r="B66" i="1"/>
  <c r="H60" i="1"/>
  <c r="F60" i="1"/>
  <c r="D60" i="1"/>
  <c r="C60" i="1"/>
  <c r="B60" i="1"/>
  <c r="H229" i="1"/>
  <c r="F229" i="1"/>
  <c r="C229" i="1"/>
  <c r="D165" i="1"/>
  <c r="B208" i="1"/>
  <c r="B346" i="1"/>
  <c r="F30" i="1"/>
  <c r="F32" i="1"/>
  <c r="C32" i="1"/>
  <c r="F346" i="1"/>
  <c r="C346" i="1"/>
  <c r="B20" i="1"/>
  <c r="B24" i="1"/>
  <c r="F100" i="1"/>
  <c r="D229" i="1"/>
  <c r="B32" i="1"/>
  <c r="D100" i="1"/>
  <c r="H165" i="1"/>
  <c r="H20" i="1"/>
  <c r="B229" i="1"/>
  <c r="H16" i="1"/>
  <c r="F20" i="1"/>
  <c r="F10" i="1"/>
  <c r="F12" i="1"/>
  <c r="D346" i="1"/>
  <c r="C136" i="1"/>
  <c r="D136" i="1"/>
  <c r="F136" i="1"/>
  <c r="C165" i="1"/>
  <c r="B165" i="1"/>
  <c r="C20" i="1"/>
  <c r="D208" i="1"/>
  <c r="B35" i="1"/>
  <c r="B100" i="1"/>
  <c r="B10" i="1"/>
  <c r="F24" i="1"/>
  <c r="C24" i="1"/>
  <c r="C35" i="1"/>
  <c r="C208" i="1"/>
  <c r="C100" i="1"/>
  <c r="C10" i="1"/>
  <c r="C34" i="1"/>
  <c r="B136" i="1"/>
  <c r="B14" i="1"/>
  <c r="B16" i="1"/>
  <c r="C16" i="1"/>
  <c r="F165" i="1"/>
  <c r="H34" i="1"/>
  <c r="H35" i="1"/>
  <c r="H136" i="1"/>
  <c r="F15" i="1"/>
  <c r="F16" i="1"/>
  <c r="F208" i="1"/>
  <c r="H24" i="1"/>
  <c r="H208" i="1"/>
  <c r="H12" i="1"/>
  <c r="H100" i="1"/>
  <c r="C36" i="1"/>
  <c r="C45" i="1"/>
  <c r="C12" i="1"/>
  <c r="F35" i="1"/>
  <c r="B34" i="1"/>
  <c r="B36" i="1"/>
  <c r="B12" i="1"/>
  <c r="F34" i="1"/>
  <c r="H36" i="1"/>
  <c r="C42" i="1"/>
  <c r="F36" i="1"/>
  <c r="F45" i="1"/>
  <c r="F47" i="1"/>
  <c r="B42" i="1"/>
  <c r="B47" i="1"/>
  <c r="B49" i="1"/>
  <c r="B45" i="1"/>
  <c r="H42" i="1"/>
  <c r="H45" i="1"/>
  <c r="H47" i="1"/>
  <c r="F42" i="1"/>
  <c r="K346" i="1" l="1"/>
  <c r="K32" i="1"/>
  <c r="K23" i="1"/>
  <c r="K24" i="1" s="1"/>
  <c r="K136" i="1"/>
  <c r="K16" i="1"/>
  <c r="K34" i="1"/>
  <c r="K12" i="1"/>
  <c r="K100" i="1"/>
  <c r="K35" i="1" l="1"/>
  <c r="K36" i="1" s="1"/>
  <c r="K42" i="1" s="1"/>
  <c r="K45" i="1" s="1"/>
  <c r="K47" i="1" s="1"/>
</calcChain>
</file>

<file path=xl/comments1.xml><?xml version="1.0" encoding="utf-8"?>
<comments xmlns="http://schemas.openxmlformats.org/spreadsheetml/2006/main">
  <authors>
    <author>Cathleen Andreucci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This category includes Cotillion, ballet, tot, teens and bdays.
</t>
        </r>
      </text>
    </comment>
  </commentList>
</comments>
</file>

<file path=xl/sharedStrings.xml><?xml version="1.0" encoding="utf-8"?>
<sst xmlns="http://schemas.openxmlformats.org/spreadsheetml/2006/main" count="538" uniqueCount="290">
  <si>
    <t>THE RANCH -  BELVEDERE-TIBURON JOINT RECREATION COMMITTEE</t>
  </si>
  <si>
    <t>Yr End</t>
  </si>
  <si>
    <t xml:space="preserve">Yr End </t>
  </si>
  <si>
    <t>Budget</t>
  </si>
  <si>
    <t>Actuals</t>
  </si>
  <si>
    <t>Projections</t>
  </si>
  <si>
    <t>FY 16-17</t>
  </si>
  <si>
    <t>FY 17-18</t>
  </si>
  <si>
    <t>FY 18-19</t>
  </si>
  <si>
    <t>FY 19-20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</si>
  <si>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</si>
  <si>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</si>
  <si>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</si>
  <si>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</si>
  <si>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</si>
  <si>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</si>
  <si>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</si>
  <si>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</si>
  <si>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</si>
  <si>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</si>
  <si>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</si>
  <si>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</si>
  <si>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</si>
  <si>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</si>
  <si>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</si>
  <si>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</si>
  <si>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</si>
  <si>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</si>
  <si>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</si>
  <si>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</si>
  <si>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</si>
  <si>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</si>
  <si>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</si>
  <si>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</si>
  <si>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</si>
  <si>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</si>
  <si>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</si>
  <si>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Academy Supervision</t>
  </si>
  <si>
    <t>Net Academy III</t>
  </si>
  <si>
    <t xml:space="preserve">Academy Revenues           </t>
  </si>
  <si>
    <t xml:space="preserve">Net Academy I   </t>
  </si>
  <si>
    <t>Net Academy II</t>
  </si>
  <si>
    <t>Ballet Program Revenue</t>
  </si>
  <si>
    <t>Ballet Program Expense</t>
  </si>
  <si>
    <t>Net Ballet Program</t>
  </si>
  <si>
    <t>Toddler Revenue</t>
  </si>
  <si>
    <t>Toddler Expense</t>
  </si>
  <si>
    <t>Net Toddler Program</t>
  </si>
  <si>
    <t>Net Teen Zone Program</t>
  </si>
  <si>
    <t>Birthday/Coorporate Revenue</t>
  </si>
  <si>
    <t>Birthday/Coorporate Expense</t>
  </si>
  <si>
    <t>Net Wknd Party Program</t>
  </si>
  <si>
    <t>Cotillion Program Revenue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</si>
  <si>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</si>
  <si>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</si>
  <si>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</si>
  <si>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</si>
  <si>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</si>
  <si>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</si>
  <si>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</si>
  <si>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Spring</t>
  </si>
  <si>
    <t>Spring/Summer</t>
  </si>
  <si>
    <t>Adult Revenue</t>
  </si>
  <si>
    <t>Adult Supervision</t>
  </si>
  <si>
    <t xml:space="preserve">Net Spring </t>
  </si>
  <si>
    <t>Adult Summer</t>
  </si>
  <si>
    <t>Adult Revenues</t>
  </si>
  <si>
    <t xml:space="preserve">Net Summer </t>
  </si>
  <si>
    <t>Fall/Winter</t>
  </si>
  <si>
    <t>Adult Fall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</si>
  <si>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</si>
  <si>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</si>
  <si>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</si>
  <si>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</si>
  <si>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</si>
  <si>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</si>
  <si>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</si>
  <si>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</si>
  <si>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</si>
  <si>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</si>
  <si>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</si>
  <si>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</si>
  <si>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</si>
  <si>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</si>
  <si>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</si>
  <si>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</si>
  <si>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</si>
  <si>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</si>
  <si>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</si>
  <si>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</si>
  <si>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</si>
  <si>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</si>
  <si>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</si>
  <si>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</si>
  <si>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</si>
  <si>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</si>
  <si>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</si>
  <si>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</si>
  <si>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Revenues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</si>
  <si>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</si>
  <si>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</si>
  <si>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</si>
  <si>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</si>
  <si>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</si>
  <si>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</si>
  <si>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</si>
  <si>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</si>
  <si>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</si>
  <si>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Brochure Ad Income</t>
  </si>
  <si>
    <t>Brochure Expenses</t>
  </si>
  <si>
    <t>Net Brochure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</si>
  <si>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</si>
  <si>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</si>
  <si>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</si>
  <si>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</si>
  <si>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</si>
  <si>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</si>
  <si>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</si>
  <si>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</si>
  <si>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</si>
  <si>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</si>
  <si>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</si>
  <si>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</si>
  <si>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</si>
  <si>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</si>
  <si>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</si>
  <si>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</si>
  <si>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</si>
  <si>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</si>
  <si>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Internet $250/mo</t>
  </si>
  <si>
    <t>Facility Assistant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</si>
  <si>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</si>
  <si>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</si>
  <si>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</si>
  <si>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</si>
  <si>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</si>
  <si>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</si>
  <si>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</si>
  <si>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</si>
  <si>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</si>
  <si>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</si>
  <si>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</si>
  <si>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Bank Charges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</si>
  <si>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</si>
  <si>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</si>
  <si>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</si>
  <si>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</si>
  <si>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</si>
  <si>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</si>
  <si>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</si>
  <si>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</si>
  <si>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</si>
  <si>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</si>
  <si>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</si>
  <si>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</si>
  <si>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>Telephone/Communication (On DK pg now)</t>
  </si>
  <si>
    <t xml:space="preserve">Workman's Compensation Ins. </t>
  </si>
  <si>
    <t>Unemployment Insurance</t>
  </si>
  <si>
    <t>Administrative Payroll</t>
  </si>
  <si>
    <t>Health &amp; Dental</t>
  </si>
  <si>
    <t>Conferences and Meetings</t>
  </si>
  <si>
    <t>Mass Mutual Retirement Benefits</t>
  </si>
  <si>
    <t>Administrative Expense Reimburse</t>
  </si>
  <si>
    <t xml:space="preserve">Administrative Personnel Costs </t>
  </si>
  <si>
    <t>SPECIAL EVENTS</t>
  </si>
  <si>
    <t xml:space="preserve">Walk Your History Revenue  </t>
  </si>
  <si>
    <t>Walk Your History Expense</t>
  </si>
  <si>
    <t>Walk Your History Staffing</t>
  </si>
  <si>
    <t>Net WYH  (SE-WYH)</t>
  </si>
  <si>
    <t>Bunny Hop Revenue</t>
  </si>
  <si>
    <t>Bunny Hop Expense</t>
  </si>
  <si>
    <t>Bunny Hop Staffing</t>
  </si>
  <si>
    <t>Net Bunny Hop (SE-Bunny)</t>
  </si>
  <si>
    <t>Adventure Race/Family Fun Day Revenue</t>
  </si>
  <si>
    <t>Adventure Race/Family Fun Day Expense</t>
  </si>
  <si>
    <t>Adventure Race/Family Fun Day Staffing</t>
  </si>
  <si>
    <t>Net  Adventure Race (SE-Adv Race)</t>
  </si>
  <si>
    <t>SOM Revenue</t>
  </si>
  <si>
    <t>SOM Expense</t>
  </si>
  <si>
    <t>SOM Staffing</t>
  </si>
  <si>
    <t>Net  SOM (SE-SOM)</t>
  </si>
  <si>
    <t>Labor Day Parade Revenue</t>
  </si>
  <si>
    <t>Labor Day Parade Expense</t>
  </si>
  <si>
    <t>Labor Day Parade Staffing</t>
  </si>
  <si>
    <t>Net Labor Day Parade (SE-Parade)</t>
  </si>
  <si>
    <t>Golf Tournament Revenue</t>
  </si>
  <si>
    <t>Golf Tournament Expense</t>
  </si>
  <si>
    <t>Golf Tournament Staffing</t>
  </si>
  <si>
    <t>Net Golf Tournament (SE-Golf)</t>
  </si>
  <si>
    <t>Tiburon Taps Revenue</t>
  </si>
  <si>
    <t>Tiburon Taps Expense</t>
  </si>
  <si>
    <t>Tiburon Taps Staffing</t>
  </si>
  <si>
    <t>Net Tiburon Taps (SE-Beer)</t>
  </si>
  <si>
    <t>Half Marathon Revenue</t>
  </si>
  <si>
    <t>Half Marathon Expense</t>
  </si>
  <si>
    <t>Half Marathon Staffing</t>
  </si>
  <si>
    <t>Net Half Marathon (SE-Marathon)</t>
  </si>
  <si>
    <t>Boo Bash Revenue</t>
  </si>
  <si>
    <t>Boo Bash Expense</t>
  </si>
  <si>
    <t>Boo BashStaffing</t>
  </si>
  <si>
    <t>Net Boo Bash (SE-Boo)</t>
  </si>
  <si>
    <t>Santas Breakfast Revenue</t>
  </si>
  <si>
    <t>Santas Breakfast Expense</t>
  </si>
  <si>
    <t>Santas Breakfast Staffing</t>
  </si>
  <si>
    <t>Net Santas Breakfast (SE-Santa)</t>
  </si>
  <si>
    <t>Father Daughter Dance Revenue</t>
  </si>
  <si>
    <t>Father Daughter Dance Expense</t>
  </si>
  <si>
    <t>Father Daughter Dance Staffing</t>
  </si>
  <si>
    <t>Net Father Daughter Dance (SE-FDDD)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</si>
  <si>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</si>
  <si>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</si>
  <si>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</si>
  <si>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</si>
  <si>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</si>
  <si>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</si>
  <si>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</si>
  <si>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</si>
  <si>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YTD</t>
  </si>
  <si>
    <t>Prior</t>
  </si>
  <si>
    <t xml:space="preserve">Academy Revenues (Cotillion, Ballet, Tots, Teens, Bdays) </t>
  </si>
  <si>
    <t>Clothing/Uniform Expenses</t>
  </si>
  <si>
    <t>Teen Revenue</t>
  </si>
  <si>
    <t>Teen Expense</t>
  </si>
  <si>
    <t xml:space="preserve">Net  </t>
  </si>
  <si>
    <t>Strategic Planning Expense</t>
  </si>
  <si>
    <t>Net Revenue before depreciation</t>
  </si>
  <si>
    <t>Net Operating Income after depreciation</t>
  </si>
  <si>
    <t>2018/19 Check Adjustments</t>
  </si>
  <si>
    <t>Accounting and Payroll Charges/ADP</t>
  </si>
  <si>
    <t>\</t>
  </si>
  <si>
    <t>FY20-21</t>
  </si>
  <si>
    <t>FY 20-21</t>
  </si>
  <si>
    <t xml:space="preserve"> Budget for FY 2020-2021   - March 1, 2020 - February 28, 2021</t>
  </si>
  <si>
    <t>Emergency Texting Program</t>
  </si>
  <si>
    <t xml:space="preserve">City/Town Financial Contribution </t>
  </si>
  <si>
    <t xml:space="preserve">Projections </t>
  </si>
  <si>
    <t xml:space="preserve">if we had no progs past summer </t>
  </si>
  <si>
    <t>except tennis and only kept Director part time</t>
  </si>
  <si>
    <t xml:space="preserve">#2 Yr end </t>
  </si>
  <si>
    <t>#3 Yr end</t>
  </si>
  <si>
    <t>with fall youth and adult programming - no winter</t>
  </si>
  <si>
    <t>Balance with program rev.</t>
  </si>
  <si>
    <t>with Fall youth and adult programming - no Winter</t>
  </si>
  <si>
    <t>except some tennis and only kept Director part time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</si>
  <si>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</si>
  <si>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</si>
  <si>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</si>
  <si>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</si>
  <si>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</si>
  <si>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</si>
  <si>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</si>
  <si>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</si>
  <si>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</si>
  <si>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</si>
  <si>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</si>
  <si>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</si>
  <si>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</si>
  <si>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</si>
  <si>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</si>
  <si>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</si>
  <si>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</si>
  <si>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</si>
  <si>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</si>
  <si>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</si>
  <si>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</si>
  <si>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</si>
  <si>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</si>
  <si>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</si>
  <si>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</si>
  <si>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</si>
  <si>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Spring (AC3)</t>
  </si>
  <si>
    <t>Year End</t>
  </si>
  <si>
    <t>Angel Island Revenue</t>
  </si>
  <si>
    <t>LAIF Balance</t>
  </si>
  <si>
    <t>Potential remaining Fall and Winter gross revenue</t>
  </si>
  <si>
    <t>Scenario 1: The Ranch runs youth and adult within current rules through end of Feb.</t>
  </si>
  <si>
    <t>*</t>
  </si>
  <si>
    <t>Remaining program and buisness expenses through 3/1/2021</t>
  </si>
  <si>
    <t>Winter  (AC2) - 8 weeks Jan - Feb</t>
  </si>
  <si>
    <t>Fall  (AC1) - 15 weeks Sept - Dec</t>
  </si>
  <si>
    <t>Projected Bank Balance as of 3/1/2021 (without taking in summer &amp; spring revenue within 20-21 FY)</t>
  </si>
  <si>
    <t>Dec</t>
  </si>
  <si>
    <t>FUNDS AVAILABLE AS OF 12/31/2020</t>
  </si>
  <si>
    <t>Bank of Marin Balance on 12/31/2020</t>
  </si>
  <si>
    <t>Outstanding Checks as of December end</t>
  </si>
  <si>
    <t>Available Funds as of 12/31/2020</t>
  </si>
  <si>
    <t>Funds on Hand as of 12/31/2020</t>
  </si>
  <si>
    <t>Payroll 1/2/2021</t>
  </si>
  <si>
    <t xml:space="preserve">* currently $40854 is in customer account credit </t>
  </si>
  <si>
    <t>for 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</si>
</sst>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3" tint="0.39997558519241921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trike/>
      <sz val="11"/>
      <name val="Times New Roman"/>
      <family val="1"/>
    </font>
    <font>
      <i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0" fillId="0" borderId="0"/>
    <xf numFmtId="0" fontId="20" fillId="0" borderId="0"/>
    <xf numFmtId="0" fontId="19" fillId="0" borderId="0"/>
    <xf numFmtId="44" fontId="19" fillId="0" borderId="0" applyFont="0" applyFill="0" applyBorder="0" applyAlignment="0" applyProtection="0"/>
  </cellStyleXfs>
  <cellXfs count="414">
    <xf numFmtId="0" fontId="0" fillId="0" borderId="0" xfId="0"/>
    <xf numFmtId="3" fontId="3" fillId="0" borderId="0" xfId="0" applyNumberFormat="1" applyFont="1" applyFill="1"/>
    <xf numFmtId="0" fontId="1" fillId="0" borderId="0" xfId="0" applyFont="1" applyAlignment="1"/>
    <xf numFmtId="0" fontId="1" fillId="0" borderId="0" xfId="0" applyFont="1"/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0" fontId="3" fillId="0" borderId="0" xfId="0" applyFont="1"/>
    <xf numFmtId="3" fontId="3" fillId="0" borderId="6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left"/>
    </xf>
    <xf numFmtId="3" fontId="3" fillId="0" borderId="5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Alignment="1" applyProtection="1">
      <alignment horizontal="right"/>
    </xf>
    <xf numFmtId="3" fontId="5" fillId="2" borderId="8" xfId="0" applyNumberFormat="1" applyFont="1" applyFill="1" applyBorder="1" applyAlignment="1" applyProtection="1">
      <alignment horizontal="right"/>
    </xf>
    <xf numFmtId="3" fontId="3" fillId="3" borderId="6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4" fillId="2" borderId="19" xfId="0" applyNumberFormat="1" applyFont="1" applyFill="1" applyBorder="1" applyAlignment="1" applyProtection="1">
      <alignment horizontal="right"/>
    </xf>
    <xf numFmtId="3" fontId="1" fillId="3" borderId="18" xfId="0" applyNumberFormat="1" applyFont="1" applyFill="1" applyBorder="1" applyAlignment="1" applyProtection="1">
      <alignment horizontal="right"/>
    </xf>
    <xf numFmtId="0" fontId="3" fillId="0" borderId="0" xfId="0" applyFont="1" applyBorder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5" fillId="2" borderId="8" xfId="0" applyNumberFormat="1" applyFont="1" applyFill="1" applyBorder="1"/>
    <xf numFmtId="3" fontId="3" fillId="3" borderId="6" xfId="0" applyNumberFormat="1" applyFont="1" applyFill="1" applyBorder="1"/>
    <xf numFmtId="0" fontId="3" fillId="0" borderId="0" xfId="0" applyFont="1" applyBorder="1" applyAlignment="1" applyProtection="1">
      <alignment horizontal="left"/>
    </xf>
    <xf numFmtId="3" fontId="1" fillId="0" borderId="16" xfId="0" applyNumberFormat="1" applyFont="1" applyFill="1" applyBorder="1"/>
    <xf numFmtId="3" fontId="1" fillId="0" borderId="18" xfId="0" applyNumberFormat="1" applyFont="1" applyFill="1" applyBorder="1"/>
    <xf numFmtId="3" fontId="4" fillId="2" borderId="19" xfId="0" applyNumberFormat="1" applyFont="1" applyFill="1" applyBorder="1"/>
    <xf numFmtId="3" fontId="1" fillId="3" borderId="18" xfId="0" applyNumberFormat="1" applyFont="1" applyFill="1" applyBorder="1"/>
    <xf numFmtId="3" fontId="3" fillId="0" borderId="18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3" fontId="1" fillId="0" borderId="22" xfId="0" applyNumberFormat="1" applyFont="1" applyFill="1" applyBorder="1"/>
    <xf numFmtId="3" fontId="4" fillId="2" borderId="23" xfId="0" applyNumberFormat="1" applyFont="1" applyFill="1" applyBorder="1"/>
    <xf numFmtId="3" fontId="1" fillId="3" borderId="22" xfId="0" applyNumberFormat="1" applyFont="1" applyFill="1" applyBorder="1"/>
    <xf numFmtId="3" fontId="1" fillId="0" borderId="0" xfId="0" applyNumberFormat="1" applyFont="1" applyFill="1" applyBorder="1"/>
    <xf numFmtId="3" fontId="3" fillId="0" borderId="16" xfId="0" applyNumberFormat="1" applyFont="1" applyFill="1" applyBorder="1"/>
    <xf numFmtId="3" fontId="1" fillId="0" borderId="26" xfId="0" applyNumberFormat="1" applyFont="1" applyFill="1" applyBorder="1" applyAlignment="1" applyProtection="1">
      <alignment horizontal="right"/>
    </xf>
    <xf numFmtId="3" fontId="4" fillId="2" borderId="27" xfId="0" applyNumberFormat="1" applyFont="1" applyFill="1" applyBorder="1" applyAlignment="1" applyProtection="1">
      <alignment horizontal="right"/>
    </xf>
    <xf numFmtId="3" fontId="1" fillId="3" borderId="26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3" fontId="1" fillId="3" borderId="19" xfId="0" applyNumberFormat="1" applyFont="1" applyFill="1" applyBorder="1"/>
    <xf numFmtId="3" fontId="1" fillId="0" borderId="26" xfId="0" applyNumberFormat="1" applyFont="1" applyFill="1" applyBorder="1"/>
    <xf numFmtId="3" fontId="1" fillId="0" borderId="27" xfId="0" applyNumberFormat="1" applyFont="1" applyFill="1" applyBorder="1"/>
    <xf numFmtId="3" fontId="3" fillId="0" borderId="33" xfId="0" applyNumberFormat="1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3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/>
    <xf numFmtId="3" fontId="3" fillId="2" borderId="33" xfId="0" applyNumberFormat="1" applyFont="1" applyFill="1" applyBorder="1"/>
    <xf numFmtId="3" fontId="3" fillId="3" borderId="33" xfId="0" applyNumberFormat="1" applyFont="1" applyFill="1" applyBorder="1"/>
    <xf numFmtId="3" fontId="1" fillId="2" borderId="16" xfId="0" applyNumberFormat="1" applyFont="1" applyFill="1" applyBorder="1" applyAlignment="1" applyProtection="1">
      <alignment horizontal="right"/>
    </xf>
    <xf numFmtId="3" fontId="1" fillId="3" borderId="16" xfId="0" applyNumberFormat="1" applyFont="1" applyFill="1" applyBorder="1" applyAlignment="1" applyProtection="1">
      <alignment horizontal="right"/>
    </xf>
    <xf numFmtId="3" fontId="6" fillId="2" borderId="33" xfId="0" applyNumberFormat="1" applyFont="1" applyFill="1" applyBorder="1"/>
    <xf numFmtId="3" fontId="6" fillId="3" borderId="33" xfId="0" applyNumberFormat="1" applyFont="1" applyFill="1" applyBorder="1"/>
    <xf numFmtId="3" fontId="1" fillId="0" borderId="5" xfId="0" applyNumberFormat="1" applyFont="1" applyFill="1" applyBorder="1" applyAlignment="1" applyProtection="1">
      <alignment horizontal="right"/>
    </xf>
    <xf numFmtId="3" fontId="1" fillId="0" borderId="33" xfId="0" applyNumberFormat="1" applyFont="1" applyFill="1" applyBorder="1" applyAlignment="1" applyProtection="1">
      <alignment horizontal="right"/>
    </xf>
    <xf numFmtId="3" fontId="1" fillId="2" borderId="33" xfId="0" applyNumberFormat="1" applyFont="1" applyFill="1" applyBorder="1" applyAlignment="1" applyProtection="1">
      <alignment horizontal="right"/>
    </xf>
    <xf numFmtId="3" fontId="1" fillId="3" borderId="33" xfId="0" applyNumberFormat="1" applyFont="1" applyFill="1" applyBorder="1" applyAlignment="1" applyProtection="1">
      <alignment horizontal="right"/>
    </xf>
    <xf numFmtId="3" fontId="6" fillId="2" borderId="33" xfId="0" applyNumberFormat="1" applyFont="1" applyFill="1" applyBorder="1" applyAlignment="1" applyProtection="1">
      <alignment horizontal="right"/>
    </xf>
    <xf numFmtId="3" fontId="6" fillId="3" borderId="33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3" borderId="5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/>
    <xf numFmtId="3" fontId="3" fillId="2" borderId="33" xfId="0" applyNumberFormat="1" applyFont="1" applyFill="1" applyBorder="1" applyAlignment="1" applyProtection="1">
      <alignment horizontal="left"/>
    </xf>
    <xf numFmtId="3" fontId="3" fillId="3" borderId="33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/>
    <xf numFmtId="0" fontId="3" fillId="0" borderId="5" xfId="0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/>
    <xf numFmtId="3" fontId="3" fillId="3" borderId="5" xfId="0" applyNumberFormat="1" applyFont="1" applyFill="1" applyBorder="1"/>
    <xf numFmtId="3" fontId="6" fillId="2" borderId="5" xfId="0" applyNumberFormat="1" applyFont="1" applyFill="1" applyBorder="1"/>
    <xf numFmtId="3" fontId="6" fillId="3" borderId="5" xfId="0" applyNumberFormat="1" applyFont="1" applyFill="1" applyBorder="1"/>
    <xf numFmtId="3" fontId="3" fillId="0" borderId="21" xfId="0" applyNumberFormat="1" applyFont="1" applyFill="1" applyBorder="1"/>
    <xf numFmtId="3" fontId="3" fillId="2" borderId="21" xfId="0" applyNumberFormat="1" applyFont="1" applyFill="1" applyBorder="1"/>
    <xf numFmtId="3" fontId="3" fillId="3" borderId="21" xfId="0" applyNumberFormat="1" applyFont="1" applyFill="1" applyBorder="1"/>
    <xf numFmtId="3" fontId="1" fillId="2" borderId="5" xfId="0" applyNumberFormat="1" applyFont="1" applyFill="1" applyBorder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right"/>
    </xf>
    <xf numFmtId="3" fontId="1" fillId="0" borderId="24" xfId="0" applyNumberFormat="1" applyFont="1" applyFill="1" applyBorder="1" applyAlignment="1" applyProtection="1">
      <alignment horizontal="right"/>
    </xf>
    <xf numFmtId="0" fontId="1" fillId="0" borderId="34" xfId="0" applyFont="1" applyBorder="1"/>
    <xf numFmtId="0" fontId="1" fillId="0" borderId="0" xfId="0" applyFont="1" applyBorder="1"/>
    <xf numFmtId="0" fontId="3" fillId="0" borderId="35" xfId="0" applyFont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0" fontId="3" fillId="0" borderId="0" xfId="0" applyFont="1" applyFill="1" applyAlignment="1" applyProtection="1">
      <alignment horizontal="left"/>
    </xf>
    <xf numFmtId="0" fontId="8" fillId="0" borderId="15" xfId="0" applyFont="1" applyBorder="1"/>
    <xf numFmtId="3" fontId="1" fillId="2" borderId="16" xfId="0" applyNumberFormat="1" applyFont="1" applyFill="1" applyBorder="1"/>
    <xf numFmtId="3" fontId="1" fillId="3" borderId="16" xfId="0" applyNumberFormat="1" applyFont="1" applyFill="1" applyBorder="1"/>
    <xf numFmtId="0" fontId="8" fillId="0" borderId="0" xfId="0" applyFont="1" applyFill="1" applyBorder="1"/>
    <xf numFmtId="0" fontId="3" fillId="0" borderId="36" xfId="0" applyFont="1" applyBorder="1"/>
    <xf numFmtId="3" fontId="1" fillId="0" borderId="10" xfId="0" applyNumberFormat="1" applyFont="1" applyFill="1" applyBorder="1"/>
    <xf numFmtId="3" fontId="1" fillId="2" borderId="10" xfId="0" applyNumberFormat="1" applyFont="1" applyFill="1" applyBorder="1"/>
    <xf numFmtId="3" fontId="1" fillId="3" borderId="10" xfId="0" applyNumberFormat="1" applyFont="1" applyFill="1" applyBorder="1"/>
    <xf numFmtId="3" fontId="3" fillId="0" borderId="37" xfId="0" applyNumberFormat="1" applyFont="1" applyFill="1" applyBorder="1"/>
    <xf numFmtId="3" fontId="3" fillId="2" borderId="37" xfId="0" applyNumberFormat="1" applyFont="1" applyFill="1" applyBorder="1"/>
    <xf numFmtId="3" fontId="3" fillId="3" borderId="37" xfId="0" applyNumberFormat="1" applyFont="1" applyFill="1" applyBorder="1"/>
    <xf numFmtId="3" fontId="9" fillId="2" borderId="5" xfId="0" applyNumberFormat="1" applyFont="1" applyFill="1" applyBorder="1"/>
    <xf numFmtId="3" fontId="9" fillId="2" borderId="37" xfId="0" applyNumberFormat="1" applyFont="1" applyFill="1" applyBorder="1"/>
    <xf numFmtId="3" fontId="3" fillId="2" borderId="16" xfId="0" applyNumberFormat="1" applyFont="1" applyFill="1" applyBorder="1"/>
    <xf numFmtId="3" fontId="3" fillId="3" borderId="16" xfId="0" applyNumberFormat="1" applyFont="1" applyFill="1" applyBorder="1"/>
    <xf numFmtId="37" fontId="11" fillId="0" borderId="0" xfId="1" applyNumberFormat="1" applyFont="1" applyFill="1"/>
    <xf numFmtId="37" fontId="11" fillId="0" borderId="38" xfId="1" applyNumberFormat="1" applyFont="1" applyFill="1" applyBorder="1"/>
    <xf numFmtId="3" fontId="12" fillId="2" borderId="5" xfId="0" applyNumberFormat="1" applyFont="1" applyFill="1" applyBorder="1"/>
    <xf numFmtId="3" fontId="12" fillId="3" borderId="5" xfId="0" applyNumberFormat="1" applyFont="1" applyFill="1" applyBorder="1"/>
    <xf numFmtId="3" fontId="12" fillId="2" borderId="37" xfId="0" applyNumberFormat="1" applyFont="1" applyFill="1" applyBorder="1"/>
    <xf numFmtId="3" fontId="12" fillId="3" borderId="37" xfId="0" applyNumberFormat="1" applyFont="1" applyFill="1" applyBorder="1"/>
    <xf numFmtId="3" fontId="1" fillId="5" borderId="2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5" borderId="12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 applyProtection="1">
      <alignment horizontal="right"/>
    </xf>
    <xf numFmtId="3" fontId="1" fillId="5" borderId="18" xfId="0" applyNumberFormat="1" applyFont="1" applyFill="1" applyBorder="1" applyAlignment="1" applyProtection="1">
      <alignment horizontal="right"/>
    </xf>
    <xf numFmtId="3" fontId="3" fillId="5" borderId="6" xfId="0" applyNumberFormat="1" applyFont="1" applyFill="1" applyBorder="1"/>
    <xf numFmtId="3" fontId="1" fillId="5" borderId="18" xfId="0" applyNumberFormat="1" applyFont="1" applyFill="1" applyBorder="1"/>
    <xf numFmtId="3" fontId="3" fillId="5" borderId="18" xfId="0" applyNumberFormat="1" applyFont="1" applyFill="1" applyBorder="1" applyAlignment="1">
      <alignment horizontal="right"/>
    </xf>
    <xf numFmtId="3" fontId="1" fillId="5" borderId="22" xfId="0" applyNumberFormat="1" applyFont="1" applyFill="1" applyBorder="1"/>
    <xf numFmtId="3" fontId="1" fillId="5" borderId="26" xfId="0" applyNumberFormat="1" applyFont="1" applyFill="1" applyBorder="1" applyAlignment="1" applyProtection="1">
      <alignment horizontal="right"/>
    </xf>
    <xf numFmtId="3" fontId="3" fillId="5" borderId="0" xfId="0" applyNumberFormat="1" applyFont="1" applyFill="1" applyBorder="1"/>
    <xf numFmtId="3" fontId="1" fillId="5" borderId="15" xfId="0" applyNumberFormat="1" applyFont="1" applyFill="1" applyBorder="1" applyAlignment="1" applyProtection="1">
      <alignment horizontal="right"/>
    </xf>
    <xf numFmtId="3" fontId="1" fillId="0" borderId="6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3" fontId="1" fillId="3" borderId="15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3" fontId="1" fillId="0" borderId="29" xfId="0" applyNumberFormat="1" applyFont="1" applyFill="1" applyBorder="1" applyAlignment="1" applyProtection="1">
      <alignment horizontal="right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3" fontId="3" fillId="3" borderId="9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/>
    <xf numFmtId="17" fontId="1" fillId="0" borderId="0" xfId="0" applyNumberFormat="1" applyFont="1" applyFill="1" applyAlignment="1" applyProtection="1">
      <alignment horizontal="left"/>
    </xf>
    <xf numFmtId="3" fontId="1" fillId="3" borderId="30" xfId="0" applyNumberFormat="1" applyFont="1" applyFill="1" applyBorder="1" applyAlignment="1">
      <alignment horizontal="center"/>
    </xf>
    <xf numFmtId="3" fontId="3" fillId="5" borderId="1" xfId="0" applyNumberFormat="1" applyFont="1" applyFill="1" applyBorder="1"/>
    <xf numFmtId="3" fontId="3" fillId="5" borderId="5" xfId="0" applyNumberFormat="1" applyFont="1" applyFill="1" applyBorder="1"/>
    <xf numFmtId="3" fontId="1" fillId="5" borderId="16" xfId="0" applyNumberFormat="1" applyFont="1" applyFill="1" applyBorder="1"/>
    <xf numFmtId="3" fontId="1" fillId="5" borderId="10" xfId="0" applyNumberFormat="1" applyFont="1" applyFill="1" applyBorder="1"/>
    <xf numFmtId="3" fontId="3" fillId="5" borderId="37" xfId="0" applyNumberFormat="1" applyFont="1" applyFill="1" applyBorder="1"/>
    <xf numFmtId="3" fontId="1" fillId="5" borderId="6" xfId="0" applyNumberFormat="1" applyFont="1" applyFill="1" applyBorder="1" applyAlignment="1" applyProtection="1">
      <alignment horizontal="right"/>
    </xf>
    <xf numFmtId="3" fontId="3" fillId="5" borderId="33" xfId="0" applyNumberFormat="1" applyFont="1" applyFill="1" applyBorder="1" applyAlignment="1">
      <alignment horizontal="center"/>
    </xf>
    <xf numFmtId="3" fontId="3" fillId="5" borderId="33" xfId="0" applyNumberFormat="1" applyFont="1" applyFill="1" applyBorder="1"/>
    <xf numFmtId="3" fontId="1" fillId="5" borderId="16" xfId="0" applyNumberFormat="1" applyFont="1" applyFill="1" applyBorder="1" applyAlignment="1" applyProtection="1">
      <alignment horizontal="right"/>
    </xf>
    <xf numFmtId="3" fontId="1" fillId="5" borderId="33" xfId="0" applyNumberFormat="1" applyFont="1" applyFill="1" applyBorder="1" applyAlignment="1" applyProtection="1">
      <alignment horizontal="right"/>
    </xf>
    <xf numFmtId="3" fontId="3" fillId="5" borderId="5" xfId="0" applyNumberFormat="1" applyFont="1" applyFill="1" applyBorder="1" applyAlignment="1" applyProtection="1">
      <alignment horizontal="right"/>
    </xf>
    <xf numFmtId="3" fontId="1" fillId="5" borderId="1" xfId="0" applyNumberFormat="1" applyFont="1" applyFill="1" applyBorder="1" applyAlignment="1" applyProtection="1">
      <alignment horizontal="right"/>
    </xf>
    <xf numFmtId="0" fontId="3" fillId="5" borderId="5" xfId="0" applyFont="1" applyFill="1" applyBorder="1"/>
    <xf numFmtId="3" fontId="3" fillId="5" borderId="21" xfId="0" applyNumberFormat="1" applyFont="1" applyFill="1" applyBorder="1"/>
    <xf numFmtId="3" fontId="1" fillId="5" borderId="5" xfId="0" applyNumberFormat="1" applyFont="1" applyFill="1" applyBorder="1" applyAlignment="1" applyProtection="1">
      <alignment horizontal="right"/>
    </xf>
    <xf numFmtId="3" fontId="3" fillId="5" borderId="16" xfId="0" applyNumberFormat="1" applyFont="1" applyFill="1" applyBorder="1"/>
    <xf numFmtId="3" fontId="3" fillId="0" borderId="9" xfId="0" applyNumberFormat="1" applyFont="1" applyFill="1" applyBorder="1" applyAlignment="1" applyProtection="1">
      <alignment horizontal="right"/>
    </xf>
    <xf numFmtId="3" fontId="1" fillId="0" borderId="30" xfId="0" applyNumberFormat="1" applyFont="1" applyFill="1" applyBorder="1" applyAlignment="1">
      <alignment horizontal="center"/>
    </xf>
    <xf numFmtId="3" fontId="1" fillId="0" borderId="19" xfId="0" applyNumberFormat="1" applyFont="1" applyFill="1" applyBorder="1"/>
    <xf numFmtId="3" fontId="6" fillId="0" borderId="33" xfId="0" applyNumberFormat="1" applyFont="1" applyFill="1" applyBorder="1"/>
    <xf numFmtId="3" fontId="6" fillId="0" borderId="33" xfId="0" applyNumberFormat="1" applyFont="1" applyFill="1" applyBorder="1" applyAlignment="1" applyProtection="1">
      <alignment horizontal="right"/>
    </xf>
    <xf numFmtId="3" fontId="3" fillId="0" borderId="33" xfId="0" applyNumberFormat="1" applyFont="1" applyFill="1" applyBorder="1" applyAlignment="1" applyProtection="1">
      <alignment horizontal="left"/>
    </xf>
    <xf numFmtId="3" fontId="6" fillId="0" borderId="5" xfId="0" applyNumberFormat="1" applyFont="1" applyFill="1" applyBorder="1"/>
    <xf numFmtId="3" fontId="12" fillId="0" borderId="5" xfId="0" applyNumberFormat="1" applyFont="1" applyFill="1" applyBorder="1"/>
    <xf numFmtId="3" fontId="12" fillId="0" borderId="37" xfId="0" applyNumberFormat="1" applyFont="1" applyFill="1" applyBorder="1"/>
    <xf numFmtId="0" fontId="0" fillId="0" borderId="0" xfId="0" applyFill="1"/>
    <xf numFmtId="3" fontId="3" fillId="0" borderId="8" xfId="0" applyNumberFormat="1" applyFont="1" applyFill="1" applyBorder="1"/>
    <xf numFmtId="0" fontId="21" fillId="0" borderId="0" xfId="0" applyFont="1"/>
    <xf numFmtId="3" fontId="1" fillId="0" borderId="6" xfId="0" applyNumberFormat="1" applyFont="1" applyFill="1" applyBorder="1"/>
    <xf numFmtId="3" fontId="4" fillId="2" borderId="8" xfId="0" applyNumberFormat="1" applyFont="1" applyFill="1" applyBorder="1"/>
    <xf numFmtId="3" fontId="1" fillId="3" borderId="6" xfId="0" applyNumberFormat="1" applyFont="1" applyFill="1" applyBorder="1"/>
    <xf numFmtId="3" fontId="1" fillId="5" borderId="6" xfId="0" applyNumberFormat="1" applyFont="1" applyFill="1" applyBorder="1"/>
    <xf numFmtId="0" fontId="1" fillId="0" borderId="38" xfId="0" applyFont="1" applyBorder="1" applyAlignment="1" applyProtection="1">
      <alignment horizontal="left"/>
    </xf>
    <xf numFmtId="3" fontId="1" fillId="0" borderId="31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3" fontId="1" fillId="3" borderId="31" xfId="0" applyNumberFormat="1" applyFont="1" applyFill="1" applyBorder="1" applyAlignment="1">
      <alignment horizontal="right"/>
    </xf>
    <xf numFmtId="3" fontId="1" fillId="5" borderId="31" xfId="0" applyNumberFormat="1" applyFont="1" applyFill="1" applyBorder="1" applyAlignment="1">
      <alignment horizontal="right"/>
    </xf>
    <xf numFmtId="0" fontId="0" fillId="0" borderId="38" xfId="0" applyBorder="1"/>
    <xf numFmtId="3" fontId="3" fillId="0" borderId="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 applyProtection="1">
      <alignment horizontal="right"/>
    </xf>
    <xf numFmtId="3" fontId="1" fillId="0" borderId="8" xfId="0" applyNumberFormat="1" applyFont="1" applyFill="1" applyBorder="1" applyAlignment="1" applyProtection="1">
      <alignment horizontal="right"/>
    </xf>
    <xf numFmtId="3" fontId="3" fillId="0" borderId="8" xfId="0" applyNumberFormat="1" applyFont="1" applyFill="1" applyBorder="1" applyAlignment="1" applyProtection="1">
      <alignment horizontal="right"/>
    </xf>
    <xf numFmtId="3" fontId="1" fillId="0" borderId="4" xfId="0" applyNumberFormat="1" applyFont="1" applyFill="1" applyBorder="1" applyAlignment="1" applyProtection="1">
      <alignment horizontal="right"/>
    </xf>
    <xf numFmtId="3" fontId="3" fillId="0" borderId="9" xfId="0" applyNumberFormat="1" applyFont="1" applyFill="1" applyBorder="1"/>
    <xf numFmtId="3" fontId="1" fillId="0" borderId="9" xfId="0" applyNumberFormat="1" applyFont="1" applyFill="1" applyBorder="1" applyAlignment="1" applyProtection="1">
      <alignment horizontal="right"/>
    </xf>
    <xf numFmtId="3" fontId="1" fillId="0" borderId="39" xfId="0" applyNumberFormat="1" applyFont="1" applyFill="1" applyBorder="1" applyAlignment="1" applyProtection="1">
      <alignment horizontal="right"/>
    </xf>
    <xf numFmtId="3" fontId="7" fillId="0" borderId="9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3" fontId="3" fillId="0" borderId="23" xfId="0" applyNumberFormat="1" applyFont="1" applyFill="1" applyBorder="1"/>
    <xf numFmtId="3" fontId="3" fillId="0" borderId="22" xfId="0" applyNumberFormat="1" applyFont="1" applyFill="1" applyBorder="1"/>
    <xf numFmtId="0" fontId="1" fillId="0" borderId="15" xfId="0" applyFont="1" applyFill="1" applyBorder="1" applyAlignment="1" applyProtection="1">
      <alignment horizontal="left"/>
    </xf>
    <xf numFmtId="3" fontId="1" fillId="4" borderId="18" xfId="0" applyNumberFormat="1" applyFont="1" applyFill="1" applyBorder="1" applyAlignment="1" applyProtection="1">
      <alignment horizontal="right"/>
    </xf>
    <xf numFmtId="3" fontId="1" fillId="5" borderId="19" xfId="0" applyNumberFormat="1" applyFont="1" applyFill="1" applyBorder="1" applyAlignment="1" applyProtection="1">
      <alignment horizontal="right"/>
    </xf>
    <xf numFmtId="3" fontId="4" fillId="2" borderId="4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4" fillId="2" borderId="42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0" fillId="0" borderId="7" xfId="0" applyFill="1" applyBorder="1"/>
    <xf numFmtId="44" fontId="0" fillId="0" borderId="0" xfId="4" applyFont="1"/>
    <xf numFmtId="3" fontId="4" fillId="6" borderId="30" xfId="0" applyNumberFormat="1" applyFont="1" applyFill="1" applyBorder="1" applyAlignment="1">
      <alignment horizontal="center"/>
    </xf>
    <xf numFmtId="3" fontId="4" fillId="6" borderId="6" xfId="0" applyNumberFormat="1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right"/>
    </xf>
    <xf numFmtId="3" fontId="3" fillId="6" borderId="6" xfId="0" applyNumberFormat="1" applyFont="1" applyFill="1" applyBorder="1" applyAlignment="1">
      <alignment horizontal="right"/>
    </xf>
    <xf numFmtId="3" fontId="3" fillId="6" borderId="6" xfId="0" applyNumberFormat="1" applyFont="1" applyFill="1" applyBorder="1" applyAlignment="1" applyProtection="1">
      <alignment horizontal="right"/>
    </xf>
    <xf numFmtId="3" fontId="1" fillId="6" borderId="18" xfId="0" applyNumberFormat="1" applyFont="1" applyFill="1" applyBorder="1" applyAlignment="1" applyProtection="1">
      <alignment horizontal="right"/>
    </xf>
    <xf numFmtId="3" fontId="3" fillId="6" borderId="6" xfId="0" applyNumberFormat="1" applyFont="1" applyFill="1" applyBorder="1"/>
    <xf numFmtId="3" fontId="1" fillId="6" borderId="18" xfId="0" applyNumberFormat="1" applyFont="1" applyFill="1" applyBorder="1"/>
    <xf numFmtId="3" fontId="3" fillId="6" borderId="18" xfId="0" applyNumberFormat="1" applyFont="1" applyFill="1" applyBorder="1" applyAlignment="1">
      <alignment horizontal="right"/>
    </xf>
    <xf numFmtId="3" fontId="1" fillId="6" borderId="31" xfId="0" applyNumberFormat="1" applyFont="1" applyFill="1" applyBorder="1" applyAlignment="1">
      <alignment horizontal="right"/>
    </xf>
    <xf numFmtId="3" fontId="1" fillId="6" borderId="22" xfId="0" applyNumberFormat="1" applyFont="1" applyFill="1" applyBorder="1"/>
    <xf numFmtId="3" fontId="1" fillId="6" borderId="6" xfId="0" applyNumberFormat="1" applyFont="1" applyFill="1" applyBorder="1"/>
    <xf numFmtId="3" fontId="1" fillId="6" borderId="26" xfId="0" applyNumberFormat="1" applyFont="1" applyFill="1" applyBorder="1" applyAlignment="1" applyProtection="1">
      <alignment horizontal="right"/>
    </xf>
    <xf numFmtId="3" fontId="3" fillId="6" borderId="30" xfId="0" applyNumberFormat="1" applyFont="1" applyFill="1" applyBorder="1"/>
    <xf numFmtId="3" fontId="3" fillId="6" borderId="22" xfId="0" applyNumberFormat="1" applyFont="1" applyFill="1" applyBorder="1"/>
    <xf numFmtId="3" fontId="1" fillId="6" borderId="26" xfId="0" applyNumberFormat="1" applyFont="1" applyFill="1" applyBorder="1"/>
    <xf numFmtId="3" fontId="1" fillId="6" borderId="7" xfId="0" applyNumberFormat="1" applyFont="1" applyFill="1" applyBorder="1"/>
    <xf numFmtId="3" fontId="3" fillId="6" borderId="7" xfId="0" applyNumberFormat="1" applyFont="1" applyFill="1" applyBorder="1"/>
    <xf numFmtId="3" fontId="1" fillId="6" borderId="17" xfId="0" applyNumberFormat="1" applyFont="1" applyFill="1" applyBorder="1" applyAlignment="1" applyProtection="1">
      <alignment horizontal="right"/>
    </xf>
    <xf numFmtId="3" fontId="6" fillId="6" borderId="7" xfId="0" applyNumberFormat="1" applyFont="1" applyFill="1" applyBorder="1"/>
    <xf numFmtId="3" fontId="1" fillId="6" borderId="7" xfId="0" applyNumberFormat="1" applyFont="1" applyFill="1" applyBorder="1" applyAlignment="1" applyProtection="1">
      <alignment horizontal="right"/>
    </xf>
    <xf numFmtId="3" fontId="6" fillId="6" borderId="7" xfId="0" applyNumberFormat="1" applyFont="1" applyFill="1" applyBorder="1" applyAlignment="1" applyProtection="1">
      <alignment horizontal="right"/>
    </xf>
    <xf numFmtId="3" fontId="3" fillId="6" borderId="14" xfId="0" applyNumberFormat="1" applyFont="1" applyFill="1" applyBorder="1" applyAlignment="1" applyProtection="1">
      <alignment horizontal="right"/>
    </xf>
    <xf numFmtId="3" fontId="1" fillId="6" borderId="20" xfId="0" applyNumberFormat="1" applyFont="1" applyFill="1" applyBorder="1" applyAlignment="1" applyProtection="1">
      <alignment horizontal="right"/>
    </xf>
    <xf numFmtId="3" fontId="1" fillId="6" borderId="41" xfId="0" applyNumberFormat="1" applyFont="1" applyFill="1" applyBorder="1" applyAlignment="1" applyProtection="1">
      <alignment horizontal="right"/>
    </xf>
    <xf numFmtId="3" fontId="3" fillId="6" borderId="7" xfId="0" applyNumberFormat="1" applyFont="1" applyFill="1" applyBorder="1" applyAlignment="1" applyProtection="1">
      <alignment horizontal="left"/>
    </xf>
    <xf numFmtId="0" fontId="14" fillId="6" borderId="6" xfId="0" applyFont="1" applyFill="1" applyBorder="1"/>
    <xf numFmtId="0" fontId="15" fillId="6" borderId="16" xfId="0" applyFont="1" applyFill="1" applyBorder="1"/>
    <xf numFmtId="0" fontId="13" fillId="6" borderId="6" xfId="0" applyFont="1" applyFill="1" applyBorder="1"/>
    <xf numFmtId="3" fontId="14" fillId="6" borderId="6" xfId="0" applyNumberFormat="1" applyFont="1" applyFill="1" applyBorder="1"/>
    <xf numFmtId="3" fontId="15" fillId="6" borderId="16" xfId="0" applyNumberFormat="1" applyFont="1" applyFill="1" applyBorder="1"/>
    <xf numFmtId="3" fontId="7" fillId="6" borderId="7" xfId="0" applyNumberFormat="1" applyFont="1" applyFill="1" applyBorder="1" applyAlignment="1" applyProtection="1">
      <alignment horizontal="right"/>
    </xf>
    <xf numFmtId="3" fontId="2" fillId="6" borderId="7" xfId="0" applyNumberFormat="1" applyFont="1" applyFill="1" applyBorder="1" applyAlignment="1" applyProtection="1">
      <alignment horizontal="right"/>
    </xf>
    <xf numFmtId="3" fontId="3" fillId="6" borderId="14" xfId="0" applyNumberFormat="1" applyFont="1" applyFill="1" applyBorder="1"/>
    <xf numFmtId="3" fontId="6" fillId="6" borderId="14" xfId="0" applyNumberFormat="1" applyFont="1" applyFill="1" applyBorder="1"/>
    <xf numFmtId="3" fontId="3" fillId="6" borderId="28" xfId="0" applyNumberFormat="1" applyFont="1" applyFill="1" applyBorder="1"/>
    <xf numFmtId="3" fontId="1" fillId="6" borderId="14" xfId="0" applyNumberFormat="1" applyFont="1" applyFill="1" applyBorder="1" applyAlignment="1" applyProtection="1">
      <alignment horizontal="right"/>
    </xf>
    <xf numFmtId="3" fontId="1" fillId="6" borderId="25" xfId="0" applyNumberFormat="1" applyFont="1" applyFill="1" applyBorder="1" applyAlignment="1" applyProtection="1">
      <alignment horizontal="right"/>
    </xf>
    <xf numFmtId="3" fontId="3" fillId="6" borderId="20" xfId="0" applyNumberFormat="1" applyFont="1" applyFill="1" applyBorder="1"/>
    <xf numFmtId="3" fontId="1" fillId="6" borderId="17" xfId="0" applyNumberFormat="1" applyFont="1" applyFill="1" applyBorder="1"/>
    <xf numFmtId="3" fontId="7" fillId="6" borderId="7" xfId="0" applyNumberFormat="1" applyFont="1" applyFill="1" applyBorder="1"/>
    <xf numFmtId="3" fontId="1" fillId="6" borderId="11" xfId="0" applyNumberFormat="1" applyFont="1" applyFill="1" applyBorder="1"/>
    <xf numFmtId="3" fontId="3" fillId="6" borderId="25" xfId="0" applyNumberFormat="1" applyFont="1" applyFill="1" applyBorder="1"/>
    <xf numFmtId="3" fontId="12" fillId="6" borderId="14" xfId="0" applyNumberFormat="1" applyFont="1" applyFill="1" applyBorder="1"/>
    <xf numFmtId="3" fontId="12" fillId="6" borderId="25" xfId="0" applyNumberFormat="1" applyFont="1" applyFill="1" applyBorder="1"/>
    <xf numFmtId="3" fontId="3" fillId="6" borderId="17" xfId="0" applyNumberFormat="1" applyFont="1" applyFill="1" applyBorder="1"/>
    <xf numFmtId="3" fontId="1" fillId="8" borderId="43" xfId="0" applyNumberFormat="1" applyFont="1" applyFill="1" applyBorder="1" applyAlignment="1">
      <alignment horizontal="center"/>
    </xf>
    <xf numFmtId="3" fontId="1" fillId="8" borderId="7" xfId="0" applyNumberFormat="1" applyFont="1" applyFill="1" applyBorder="1" applyAlignment="1">
      <alignment horizontal="center"/>
    </xf>
    <xf numFmtId="3" fontId="1" fillId="8" borderId="44" xfId="0" applyNumberFormat="1" applyFont="1" applyFill="1" applyBorder="1" applyAlignment="1">
      <alignment horizontal="center"/>
    </xf>
    <xf numFmtId="3" fontId="1" fillId="8" borderId="6" xfId="0" applyNumberFormat="1" applyFont="1" applyFill="1" applyBorder="1" applyAlignment="1">
      <alignment horizontal="center"/>
    </xf>
    <xf numFmtId="3" fontId="3" fillId="8" borderId="6" xfId="0" applyNumberFormat="1" applyFont="1" applyFill="1" applyBorder="1" applyAlignment="1">
      <alignment horizontal="right"/>
    </xf>
    <xf numFmtId="3" fontId="3" fillId="8" borderId="6" xfId="0" applyNumberFormat="1" applyFont="1" applyFill="1" applyBorder="1" applyAlignment="1" applyProtection="1">
      <alignment horizontal="right"/>
    </xf>
    <xf numFmtId="3" fontId="1" fillId="8" borderId="18" xfId="0" applyNumberFormat="1" applyFont="1" applyFill="1" applyBorder="1" applyAlignment="1" applyProtection="1">
      <alignment horizontal="right"/>
    </xf>
    <xf numFmtId="3" fontId="3" fillId="8" borderId="6" xfId="0" applyNumberFormat="1" applyFont="1" applyFill="1" applyBorder="1"/>
    <xf numFmtId="3" fontId="1" fillId="8" borderId="18" xfId="0" applyNumberFormat="1" applyFont="1" applyFill="1" applyBorder="1"/>
    <xf numFmtId="3" fontId="3" fillId="8" borderId="18" xfId="0" applyNumberFormat="1" applyFont="1" applyFill="1" applyBorder="1" applyAlignment="1">
      <alignment horizontal="right"/>
    </xf>
    <xf numFmtId="3" fontId="1" fillId="8" borderId="31" xfId="0" applyNumberFormat="1" applyFont="1" applyFill="1" applyBorder="1" applyAlignment="1">
      <alignment horizontal="right"/>
    </xf>
    <xf numFmtId="3" fontId="1" fillId="8" borderId="22" xfId="0" applyNumberFormat="1" applyFont="1" applyFill="1" applyBorder="1"/>
    <xf numFmtId="3" fontId="1" fillId="8" borderId="6" xfId="0" applyNumberFormat="1" applyFont="1" applyFill="1" applyBorder="1"/>
    <xf numFmtId="3" fontId="1" fillId="8" borderId="26" xfId="0" applyNumberFormat="1" applyFont="1" applyFill="1" applyBorder="1" applyAlignment="1" applyProtection="1">
      <alignment horizontal="right"/>
    </xf>
    <xf numFmtId="3" fontId="3" fillId="8" borderId="30" xfId="0" applyNumberFormat="1" applyFont="1" applyFill="1" applyBorder="1"/>
    <xf numFmtId="3" fontId="3" fillId="8" borderId="22" xfId="0" applyNumberFormat="1" applyFont="1" applyFill="1" applyBorder="1"/>
    <xf numFmtId="3" fontId="1" fillId="8" borderId="26" xfId="0" applyNumberFormat="1" applyFont="1" applyFill="1" applyBorder="1"/>
    <xf numFmtId="3" fontId="1" fillId="8" borderId="7" xfId="0" applyNumberFormat="1" applyFont="1" applyFill="1" applyBorder="1"/>
    <xf numFmtId="3" fontId="3" fillId="8" borderId="7" xfId="0" applyNumberFormat="1" applyFont="1" applyFill="1" applyBorder="1"/>
    <xf numFmtId="3" fontId="1" fillId="8" borderId="17" xfId="0" applyNumberFormat="1" applyFont="1" applyFill="1" applyBorder="1" applyAlignment="1" applyProtection="1">
      <alignment horizontal="right"/>
    </xf>
    <xf numFmtId="3" fontId="22" fillId="8" borderId="7" xfId="0" applyNumberFormat="1" applyFont="1" applyFill="1" applyBorder="1"/>
    <xf numFmtId="3" fontId="1" fillId="8" borderId="7" xfId="0" applyNumberFormat="1" applyFont="1" applyFill="1" applyBorder="1" applyAlignment="1" applyProtection="1">
      <alignment horizontal="right"/>
    </xf>
    <xf numFmtId="3" fontId="22" fillId="8" borderId="7" xfId="0" applyNumberFormat="1" applyFont="1" applyFill="1" applyBorder="1" applyAlignment="1" applyProtection="1">
      <alignment horizontal="right"/>
    </xf>
    <xf numFmtId="3" fontId="3" fillId="8" borderId="14" xfId="0" applyNumberFormat="1" applyFont="1" applyFill="1" applyBorder="1" applyAlignment="1" applyProtection="1">
      <alignment horizontal="right"/>
    </xf>
    <xf numFmtId="3" fontId="1" fillId="8" borderId="20" xfId="0" applyNumberFormat="1" applyFont="1" applyFill="1" applyBorder="1" applyAlignment="1" applyProtection="1">
      <alignment horizontal="right"/>
    </xf>
    <xf numFmtId="3" fontId="1" fillId="8" borderId="41" xfId="0" applyNumberFormat="1" applyFont="1" applyFill="1" applyBorder="1" applyAlignment="1" applyProtection="1">
      <alignment horizontal="right"/>
    </xf>
    <xf numFmtId="3" fontId="3" fillId="8" borderId="7" xfId="0" applyNumberFormat="1" applyFont="1" applyFill="1" applyBorder="1" applyAlignment="1" applyProtection="1">
      <alignment horizontal="left"/>
    </xf>
    <xf numFmtId="0" fontId="23" fillId="8" borderId="6" xfId="0" applyFont="1" applyFill="1" applyBorder="1"/>
    <xf numFmtId="0" fontId="24" fillId="8" borderId="16" xfId="0" applyFont="1" applyFill="1" applyBorder="1"/>
    <xf numFmtId="0" fontId="25" fillId="8" borderId="6" xfId="0" applyFont="1" applyFill="1" applyBorder="1"/>
    <xf numFmtId="3" fontId="23" fillId="8" borderId="6" xfId="0" applyNumberFormat="1" applyFont="1" applyFill="1" applyBorder="1"/>
    <xf numFmtId="3" fontId="24" fillId="8" borderId="16" xfId="0" applyNumberFormat="1" applyFont="1" applyFill="1" applyBorder="1"/>
    <xf numFmtId="3" fontId="3" fillId="8" borderId="7" xfId="0" applyNumberFormat="1" applyFont="1" applyFill="1" applyBorder="1" applyAlignment="1" applyProtection="1">
      <alignment horizontal="right"/>
    </xf>
    <xf numFmtId="3" fontId="3" fillId="8" borderId="14" xfId="0" applyNumberFormat="1" applyFont="1" applyFill="1" applyBorder="1"/>
    <xf numFmtId="3" fontId="22" fillId="8" borderId="14" xfId="0" applyNumberFormat="1" applyFont="1" applyFill="1" applyBorder="1"/>
    <xf numFmtId="3" fontId="3" fillId="8" borderId="28" xfId="0" applyNumberFormat="1" applyFont="1" applyFill="1" applyBorder="1"/>
    <xf numFmtId="3" fontId="1" fillId="8" borderId="14" xfId="0" applyNumberFormat="1" applyFont="1" applyFill="1" applyBorder="1" applyAlignment="1" applyProtection="1">
      <alignment horizontal="right"/>
    </xf>
    <xf numFmtId="3" fontId="1" fillId="8" borderId="25" xfId="0" applyNumberFormat="1" applyFont="1" applyFill="1" applyBorder="1" applyAlignment="1" applyProtection="1">
      <alignment horizontal="right"/>
    </xf>
    <xf numFmtId="3" fontId="3" fillId="8" borderId="20" xfId="0" applyNumberFormat="1" applyFont="1" applyFill="1" applyBorder="1"/>
    <xf numFmtId="3" fontId="1" fillId="8" borderId="17" xfId="0" applyNumberFormat="1" applyFont="1" applyFill="1" applyBorder="1"/>
    <xf numFmtId="3" fontId="1" fillId="8" borderId="11" xfId="0" applyNumberFormat="1" applyFont="1" applyFill="1" applyBorder="1"/>
    <xf numFmtId="3" fontId="3" fillId="8" borderId="25" xfId="0" applyNumberFormat="1" applyFont="1" applyFill="1" applyBorder="1"/>
    <xf numFmtId="3" fontId="12" fillId="8" borderId="14" xfId="0" applyNumberFormat="1" applyFont="1" applyFill="1" applyBorder="1"/>
    <xf numFmtId="3" fontId="12" fillId="8" borderId="25" xfId="0" applyNumberFormat="1" applyFont="1" applyFill="1" applyBorder="1"/>
    <xf numFmtId="3" fontId="3" fillId="8" borderId="17" xfId="0" applyNumberFormat="1" applyFont="1" applyFill="1" applyBorder="1"/>
    <xf numFmtId="3" fontId="4" fillId="7" borderId="30" xfId="0" applyNumberFormat="1" applyFont="1" applyFill="1" applyBorder="1" applyAlignment="1">
      <alignment horizontal="center"/>
    </xf>
    <xf numFmtId="3" fontId="4" fillId="7" borderId="6" xfId="0" applyNumberFormat="1" applyFont="1" applyFill="1" applyBorder="1" applyAlignment="1">
      <alignment horizontal="center"/>
    </xf>
    <xf numFmtId="3" fontId="4" fillId="7" borderId="22" xfId="0" applyNumberFormat="1" applyFont="1" applyFill="1" applyBorder="1" applyAlignment="1">
      <alignment horizontal="center"/>
    </xf>
    <xf numFmtId="3" fontId="1" fillId="7" borderId="6" xfId="0" applyNumberFormat="1" applyFont="1" applyFill="1" applyBorder="1" applyAlignment="1">
      <alignment horizontal="right"/>
    </xf>
    <xf numFmtId="3" fontId="3" fillId="7" borderId="6" xfId="0" applyNumberFormat="1" applyFont="1" applyFill="1" applyBorder="1" applyAlignment="1">
      <alignment horizontal="right"/>
    </xf>
    <xf numFmtId="3" fontId="3" fillId="7" borderId="6" xfId="0" applyNumberFormat="1" applyFont="1" applyFill="1" applyBorder="1" applyAlignment="1" applyProtection="1">
      <alignment horizontal="right"/>
    </xf>
    <xf numFmtId="3" fontId="1" fillId="7" borderId="18" xfId="0" applyNumberFormat="1" applyFont="1" applyFill="1" applyBorder="1" applyAlignment="1" applyProtection="1">
      <alignment horizontal="right"/>
    </xf>
    <xf numFmtId="3" fontId="3" fillId="7" borderId="6" xfId="0" applyNumberFormat="1" applyFont="1" applyFill="1" applyBorder="1"/>
    <xf numFmtId="3" fontId="1" fillId="7" borderId="18" xfId="0" applyNumberFormat="1" applyFont="1" applyFill="1" applyBorder="1"/>
    <xf numFmtId="3" fontId="3" fillId="7" borderId="18" xfId="0" applyNumberFormat="1" applyFont="1" applyFill="1" applyBorder="1" applyAlignment="1">
      <alignment horizontal="right"/>
    </xf>
    <xf numFmtId="3" fontId="1" fillId="7" borderId="31" xfId="0" applyNumberFormat="1" applyFont="1" applyFill="1" applyBorder="1" applyAlignment="1">
      <alignment horizontal="right"/>
    </xf>
    <xf numFmtId="3" fontId="1" fillId="7" borderId="22" xfId="0" applyNumberFormat="1" applyFont="1" applyFill="1" applyBorder="1"/>
    <xf numFmtId="3" fontId="1" fillId="7" borderId="6" xfId="0" applyNumberFormat="1" applyFont="1" applyFill="1" applyBorder="1"/>
    <xf numFmtId="3" fontId="1" fillId="7" borderId="26" xfId="0" applyNumberFormat="1" applyFont="1" applyFill="1" applyBorder="1" applyAlignment="1" applyProtection="1">
      <alignment horizontal="right"/>
    </xf>
    <xf numFmtId="3" fontId="3" fillId="7" borderId="30" xfId="0" applyNumberFormat="1" applyFont="1" applyFill="1" applyBorder="1"/>
    <xf numFmtId="3" fontId="3" fillId="7" borderId="22" xfId="0" applyNumberFormat="1" applyFont="1" applyFill="1" applyBorder="1"/>
    <xf numFmtId="3" fontId="3" fillId="7" borderId="7" xfId="0" applyNumberFormat="1" applyFont="1" applyFill="1" applyBorder="1"/>
    <xf numFmtId="3" fontId="1" fillId="7" borderId="17" xfId="0" applyNumberFormat="1" applyFont="1" applyFill="1" applyBorder="1" applyAlignment="1" applyProtection="1">
      <alignment horizontal="right"/>
    </xf>
    <xf numFmtId="3" fontId="6" fillId="7" borderId="7" xfId="0" applyNumberFormat="1" applyFont="1" applyFill="1" applyBorder="1"/>
    <xf numFmtId="3" fontId="1" fillId="7" borderId="7" xfId="0" applyNumberFormat="1" applyFont="1" applyFill="1" applyBorder="1" applyAlignment="1" applyProtection="1">
      <alignment horizontal="right"/>
    </xf>
    <xf numFmtId="3" fontId="6" fillId="7" borderId="7" xfId="0" applyNumberFormat="1" applyFont="1" applyFill="1" applyBorder="1" applyAlignment="1" applyProtection="1">
      <alignment horizontal="right"/>
    </xf>
    <xf numFmtId="3" fontId="3" fillId="7" borderId="14" xfId="0" applyNumberFormat="1" applyFont="1" applyFill="1" applyBorder="1" applyAlignment="1" applyProtection="1">
      <alignment horizontal="right"/>
    </xf>
    <xf numFmtId="3" fontId="1" fillId="7" borderId="20" xfId="0" applyNumberFormat="1" applyFont="1" applyFill="1" applyBorder="1" applyAlignment="1" applyProtection="1">
      <alignment horizontal="right"/>
    </xf>
    <xf numFmtId="3" fontId="1" fillId="7" borderId="41" xfId="0" applyNumberFormat="1" applyFont="1" applyFill="1" applyBorder="1" applyAlignment="1" applyProtection="1">
      <alignment horizontal="right"/>
    </xf>
    <xf numFmtId="3" fontId="3" fillId="7" borderId="7" xfId="0" applyNumberFormat="1" applyFont="1" applyFill="1" applyBorder="1" applyAlignment="1" applyProtection="1">
      <alignment horizontal="left"/>
    </xf>
    <xf numFmtId="0" fontId="14" fillId="7" borderId="6" xfId="0" applyFont="1" applyFill="1" applyBorder="1"/>
    <xf numFmtId="0" fontId="15" fillId="7" borderId="16" xfId="0" applyFont="1" applyFill="1" applyBorder="1"/>
    <xf numFmtId="0" fontId="13" fillId="7" borderId="6" xfId="0" applyFont="1" applyFill="1" applyBorder="1"/>
    <xf numFmtId="3" fontId="14" fillId="7" borderId="6" xfId="0" applyNumberFormat="1" applyFont="1" applyFill="1" applyBorder="1"/>
    <xf numFmtId="3" fontId="15" fillId="7" borderId="16" xfId="0" applyNumberFormat="1" applyFont="1" applyFill="1" applyBorder="1"/>
    <xf numFmtId="3" fontId="3" fillId="7" borderId="14" xfId="0" applyNumberFormat="1" applyFont="1" applyFill="1" applyBorder="1"/>
    <xf numFmtId="3" fontId="6" fillId="7" borderId="14" xfId="0" applyNumberFormat="1" applyFont="1" applyFill="1" applyBorder="1"/>
    <xf numFmtId="3" fontId="3" fillId="7" borderId="28" xfId="0" applyNumberFormat="1" applyFont="1" applyFill="1" applyBorder="1"/>
    <xf numFmtId="3" fontId="1" fillId="7" borderId="14" xfId="0" applyNumberFormat="1" applyFont="1" applyFill="1" applyBorder="1" applyAlignment="1" applyProtection="1">
      <alignment horizontal="right"/>
    </xf>
    <xf numFmtId="3" fontId="3" fillId="7" borderId="20" xfId="0" applyNumberFormat="1" applyFont="1" applyFill="1" applyBorder="1"/>
    <xf numFmtId="3" fontId="1" fillId="7" borderId="17" xfId="0" applyNumberFormat="1" applyFont="1" applyFill="1" applyBorder="1"/>
    <xf numFmtId="3" fontId="1" fillId="7" borderId="11" xfId="0" applyNumberFormat="1" applyFont="1" applyFill="1" applyBorder="1"/>
    <xf numFmtId="3" fontId="3" fillId="7" borderId="25" xfId="0" applyNumberFormat="1" applyFont="1" applyFill="1" applyBorder="1"/>
    <xf numFmtId="3" fontId="12" fillId="7" borderId="14" xfId="0" applyNumberFormat="1" applyFont="1" applyFill="1" applyBorder="1"/>
    <xf numFmtId="3" fontId="12" fillId="7" borderId="25" xfId="0" applyNumberFormat="1" applyFont="1" applyFill="1" applyBorder="1"/>
    <xf numFmtId="3" fontId="3" fillId="7" borderId="17" xfId="0" applyNumberFormat="1" applyFont="1" applyFill="1" applyBorder="1"/>
    <xf numFmtId="44" fontId="27" fillId="7" borderId="29" xfId="4" applyFont="1" applyFill="1" applyBorder="1"/>
    <xf numFmtId="44" fontId="0" fillId="7" borderId="29" xfId="4" applyFont="1" applyFill="1" applyBorder="1"/>
    <xf numFmtId="3" fontId="3" fillId="7" borderId="6" xfId="0" applyNumberFormat="1" applyFont="1" applyFill="1" applyBorder="1" applyAlignment="1"/>
    <xf numFmtId="3" fontId="3" fillId="6" borderId="6" xfId="0" applyNumberFormat="1" applyFont="1" applyFill="1" applyBorder="1" applyAlignment="1"/>
    <xf numFmtId="3" fontId="3" fillId="8" borderId="6" xfId="0" applyNumberFormat="1" applyFont="1" applyFill="1" applyBorder="1" applyAlignment="1"/>
    <xf numFmtId="0" fontId="29" fillId="9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/>
    <xf numFmtId="164" fontId="30" fillId="0" borderId="0" xfId="0" applyNumberFormat="1" applyFont="1"/>
    <xf numFmtId="164" fontId="31" fillId="0" borderId="0" xfId="0" applyNumberFormat="1" applyFont="1"/>
    <xf numFmtId="164" fontId="30" fillId="0" borderId="0" xfId="4" applyNumberFormat="1" applyFont="1"/>
    <xf numFmtId="0" fontId="29" fillId="0" borderId="48" xfId="0" applyFont="1" applyBorder="1"/>
    <xf numFmtId="164" fontId="29" fillId="0" borderId="48" xfId="0" applyNumberFormat="1" applyFont="1" applyBorder="1"/>
    <xf numFmtId="0" fontId="32" fillId="0" borderId="0" xfId="0" applyFont="1"/>
    <xf numFmtId="164" fontId="32" fillId="0" borderId="0" xfId="0" applyNumberFormat="1" applyFont="1"/>
    <xf numFmtId="164" fontId="33" fillId="0" borderId="0" xfId="0" applyNumberFormat="1" applyFont="1"/>
    <xf numFmtId="164" fontId="32" fillId="0" borderId="0" xfId="4" applyNumberFormat="1" applyFont="1"/>
    <xf numFmtId="0" fontId="32" fillId="0" borderId="45" xfId="0" applyFont="1" applyBorder="1"/>
    <xf numFmtId="164" fontId="32" fillId="0" borderId="46" xfId="0" applyNumberFormat="1" applyFont="1" applyBorder="1"/>
    <xf numFmtId="164" fontId="32" fillId="0" borderId="47" xfId="0" applyNumberFormat="1" applyFont="1" applyBorder="1"/>
    <xf numFmtId="164" fontId="34" fillId="0" borderId="0" xfId="0" applyNumberFormat="1" applyFont="1"/>
    <xf numFmtId="164" fontId="32" fillId="0" borderId="46" xfId="4" applyNumberFormat="1" applyFont="1" applyBorder="1"/>
    <xf numFmtId="164" fontId="32" fillId="0" borderId="47" xfId="4" applyNumberFormat="1" applyFont="1" applyBorder="1"/>
    <xf numFmtId="0" fontId="33" fillId="0" borderId="0" xfId="0" applyFont="1"/>
    <xf numFmtId="0" fontId="32" fillId="0" borderId="48" xfId="0" applyFont="1" applyBorder="1"/>
    <xf numFmtId="164" fontId="32" fillId="0" borderId="48" xfId="0" applyNumberFormat="1" applyFont="1" applyBorder="1"/>
    <xf numFmtId="0" fontId="32" fillId="9" borderId="29" xfId="0" applyFont="1" applyFill="1" applyBorder="1" applyAlignment="1">
      <alignment horizontal="center" wrapText="1"/>
    </xf>
    <xf numFmtId="3" fontId="3" fillId="4" borderId="22" xfId="0" applyNumberFormat="1" applyFont="1" applyFill="1" applyBorder="1"/>
    <xf numFmtId="3" fontId="1" fillId="4" borderId="26" xfId="0" applyNumberFormat="1" applyFont="1" applyFill="1" applyBorder="1"/>
    <xf numFmtId="3" fontId="1" fillId="4" borderId="7" xfId="0" applyNumberFormat="1" applyFont="1" applyFill="1" applyBorder="1"/>
    <xf numFmtId="3" fontId="3" fillId="4" borderId="7" xfId="0" applyNumberFormat="1" applyFont="1" applyFill="1" applyBorder="1"/>
    <xf numFmtId="3" fontId="7" fillId="4" borderId="7" xfId="0" applyNumberFormat="1" applyFont="1" applyFill="1" applyBorder="1" applyAlignment="1" applyProtection="1">
      <alignment horizontal="right"/>
    </xf>
    <xf numFmtId="3" fontId="2" fillId="4" borderId="7" xfId="0" applyNumberFormat="1" applyFont="1" applyFill="1" applyBorder="1" applyAlignment="1" applyProtection="1">
      <alignment horizontal="right"/>
    </xf>
    <xf numFmtId="3" fontId="1" fillId="4" borderId="25" xfId="0" applyNumberFormat="1" applyFont="1" applyFill="1" applyBorder="1" applyAlignment="1" applyProtection="1">
      <alignment horizontal="right"/>
    </xf>
    <xf numFmtId="3" fontId="1" fillId="4" borderId="7" xfId="0" applyNumberFormat="1" applyFont="1" applyFill="1" applyBorder="1" applyAlignment="1" applyProtection="1">
      <alignment horizontal="right"/>
    </xf>
    <xf numFmtId="3" fontId="7" fillId="4" borderId="7" xfId="0" applyNumberFormat="1" applyFont="1" applyFill="1" applyBorder="1"/>
    <xf numFmtId="0" fontId="26" fillId="7" borderId="45" xfId="0" applyFont="1" applyFill="1" applyBorder="1"/>
    <xf numFmtId="0" fontId="27" fillId="7" borderId="45" xfId="0" applyFont="1" applyFill="1" applyBorder="1"/>
    <xf numFmtId="0" fontId="27" fillId="7" borderId="45" xfId="0" applyFont="1" applyFill="1" applyBorder="1" applyAlignment="1">
      <alignment horizontal="right"/>
    </xf>
    <xf numFmtId="44" fontId="28" fillId="7" borderId="29" xfId="4" applyFont="1" applyFill="1" applyBorder="1"/>
    <xf numFmtId="3" fontId="3" fillId="3" borderId="12" xfId="0" applyNumberFormat="1" applyFont="1" applyFill="1" applyBorder="1"/>
    <xf numFmtId="0" fontId="28" fillId="7" borderId="45" xfId="0" applyFont="1" applyFill="1" applyBorder="1" applyAlignment="1">
      <alignment horizontal="right"/>
    </xf>
    <xf numFmtId="44" fontId="21" fillId="0" borderId="0" xfId="4" applyFont="1"/>
    <xf numFmtId="3" fontId="3" fillId="7" borderId="33" xfId="0" applyNumberFormat="1" applyFont="1" applyFill="1" applyBorder="1"/>
    <xf numFmtId="3" fontId="1" fillId="7" borderId="16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44" fontId="0" fillId="0" borderId="0" xfId="4" applyFont="1" applyFill="1" applyBorder="1"/>
    <xf numFmtId="0" fontId="0" fillId="0" borderId="29" xfId="0" applyBorder="1"/>
    <xf numFmtId="44" fontId="0" fillId="0" borderId="29" xfId="4" applyFont="1" applyBorder="1"/>
    <xf numFmtId="0" fontId="0" fillId="0" borderId="30" xfId="0" applyBorder="1"/>
    <xf numFmtId="44" fontId="0" fillId="0" borderId="30" xfId="4" applyFont="1" applyBorder="1"/>
    <xf numFmtId="0" fontId="21" fillId="0" borderId="17" xfId="0" applyFont="1" applyBorder="1"/>
    <xf numFmtId="44" fontId="21" fillId="0" borderId="19" xfId="0" applyNumberFormat="1" applyFont="1" applyBorder="1"/>
    <xf numFmtId="3" fontId="5" fillId="2" borderId="29" xfId="0" applyNumberFormat="1" applyFont="1" applyFill="1" applyBorder="1"/>
    <xf numFmtId="3" fontId="3" fillId="6" borderId="29" xfId="0" applyNumberFormat="1" applyFont="1" applyFill="1" applyBorder="1"/>
    <xf numFmtId="3" fontId="3" fillId="8" borderId="29" xfId="0" applyNumberFormat="1" applyFont="1" applyFill="1" applyBorder="1"/>
    <xf numFmtId="3" fontId="3" fillId="7" borderId="29" xfId="0" applyNumberFormat="1" applyFont="1" applyFill="1" applyBorder="1"/>
    <xf numFmtId="3" fontId="3" fillId="3" borderId="29" xfId="0" applyNumberFormat="1" applyFont="1" applyFill="1" applyBorder="1"/>
    <xf numFmtId="3" fontId="3" fillId="5" borderId="29" xfId="0" applyNumberFormat="1" applyFont="1" applyFill="1" applyBorder="1"/>
    <xf numFmtId="0" fontId="35" fillId="0" borderId="0" xfId="0" applyFont="1" applyFill="1" applyBorder="1"/>
    <xf numFmtId="0" fontId="37" fillId="0" borderId="0" xfId="0" applyFont="1" applyFill="1" applyBorder="1"/>
    <xf numFmtId="44" fontId="37" fillId="0" borderId="0" xfId="4" applyFont="1" applyFill="1" applyBorder="1"/>
    <xf numFmtId="0" fontId="36" fillId="0" borderId="0" xfId="0" applyFont="1" applyBorder="1"/>
    <xf numFmtId="0" fontId="38" fillId="0" borderId="0" xfId="0" applyFont="1" applyFill="1" applyBorder="1"/>
    <xf numFmtId="44" fontId="36" fillId="0" borderId="0" xfId="4" applyFont="1" applyFill="1" applyBorder="1"/>
    <xf numFmtId="0" fontId="37" fillId="0" borderId="0" xfId="0" applyFont="1" applyFill="1" applyBorder="1" applyAlignment="1">
      <alignment horizontal="right"/>
    </xf>
    <xf numFmtId="44" fontId="39" fillId="0" borderId="0" xfId="4" applyFont="1" applyFill="1" applyBorder="1"/>
    <xf numFmtId="0" fontId="39" fillId="0" borderId="0" xfId="0" applyFont="1" applyFill="1" applyBorder="1" applyAlignment="1">
      <alignment horizontal="right"/>
    </xf>
    <xf numFmtId="0" fontId="36" fillId="0" borderId="0" xfId="0" applyFont="1" applyFill="1" applyBorder="1"/>
    <xf numFmtId="0" fontId="40" fillId="0" borderId="0" xfId="0" applyFont="1" applyFill="1" applyAlignment="1" applyProtection="1"/>
  </cellXfs>
  <cellStyles count="5">
    <cellStyle name="Currency" xfId="4" builtin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6"/>
  <sheetViews>
    <sheetView tabSelected="1" topLeftCell="A349" zoomScaleNormal="100" workbookViewId="0">
      <pane xSplit="1" topLeftCell="F1" activePane="topRight" state="frozen"/>
      <selection activeCell="A52" sqref="A52"/>
      <selection pane="topRight" activeCell="I281" sqref="I281:I283"/>
    </sheetView>
  </sheetViews>
  <sheetFormatPr defaultRowHeight="14.5" x14ac:dyDescent="0.35"/>
  <cols>
    <col min="1" max="1" width="32" customWidth="1"/>
    <col min="2" max="4" width="9.54296875" hidden="1" customWidth="1"/>
    <col min="5" max="5" width="4.81640625" style="177" hidden="1" customWidth="1"/>
    <col min="6" max="6" width="15.6328125" customWidth="1"/>
    <col min="7" max="7" width="15.6328125" hidden="1" customWidth="1"/>
    <col min="8" max="8" width="13.08984375" style="209" hidden="1" customWidth="1"/>
    <col min="9" max="9" width="15.81640625" customWidth="1"/>
    <col min="10" max="11" width="15.6328125" customWidth="1"/>
    <col min="12" max="12" width="8.7265625" hidden="1" customWidth="1"/>
    <col min="13" max="13" width="5.54296875" customWidth="1"/>
    <col min="14" max="14" width="12.6328125" customWidth="1"/>
  </cols>
  <sheetData>
    <row r="1" spans="1:11" x14ac:dyDescent="0.35">
      <c r="A1" s="149" t="s">
        <v>0</v>
      </c>
      <c r="B1" s="1"/>
      <c r="C1" s="1"/>
      <c r="D1" s="1"/>
      <c r="E1" s="35"/>
      <c r="F1" s="1"/>
      <c r="G1" s="1"/>
      <c r="H1" s="35"/>
      <c r="I1" s="1"/>
      <c r="J1" s="35"/>
      <c r="K1" s="1"/>
    </row>
    <row r="2" spans="1:11" ht="17.5" x14ac:dyDescent="0.35">
      <c r="A2" s="413" t="s">
        <v>232</v>
      </c>
      <c r="B2" s="1"/>
      <c r="C2" s="1"/>
      <c r="D2" s="1"/>
      <c r="E2" s="35"/>
      <c r="F2" s="1"/>
      <c r="G2" s="1"/>
      <c r="H2" s="35"/>
      <c r="I2" s="1"/>
      <c r="J2" s="35"/>
      <c r="K2" s="1"/>
    </row>
    <row r="3" spans="1:11" x14ac:dyDescent="0.35">
      <c r="A3" s="150">
        <v>44166</v>
      </c>
      <c r="B3" s="1"/>
      <c r="C3" s="1"/>
      <c r="D3" s="1"/>
      <c r="E3" s="35"/>
      <c r="F3" s="1"/>
      <c r="G3" s="1"/>
      <c r="H3" s="35"/>
      <c r="I3" s="1"/>
      <c r="J3" s="35"/>
      <c r="K3" s="1"/>
    </row>
    <row r="4" spans="1:11" ht="15" thickBot="1" x14ac:dyDescent="0.4">
      <c r="A4" s="2"/>
      <c r="B4" s="1"/>
      <c r="C4" s="1"/>
      <c r="D4" s="1"/>
      <c r="E4" s="35"/>
      <c r="F4" s="1"/>
      <c r="G4" s="1"/>
      <c r="H4" s="35"/>
      <c r="I4" s="1"/>
      <c r="J4" s="35"/>
      <c r="K4" s="1"/>
    </row>
    <row r="5" spans="1:11" x14ac:dyDescent="0.35">
      <c r="A5" s="3"/>
      <c r="B5" s="4"/>
      <c r="C5" s="5"/>
      <c r="D5" s="5"/>
      <c r="E5" s="169"/>
      <c r="F5" s="207" t="s">
        <v>216</v>
      </c>
      <c r="G5" s="211" t="s">
        <v>238</v>
      </c>
      <c r="H5" s="258" t="s">
        <v>239</v>
      </c>
      <c r="I5" s="303" t="s">
        <v>271</v>
      </c>
      <c r="J5" s="151" t="s">
        <v>281</v>
      </c>
      <c r="K5" s="126" t="s">
        <v>218</v>
      </c>
    </row>
    <row r="6" spans="1:11" x14ac:dyDescent="0.35">
      <c r="A6" s="3"/>
      <c r="B6" s="7" t="s">
        <v>2</v>
      </c>
      <c r="C6" s="8" t="s">
        <v>1</v>
      </c>
      <c r="D6" s="8" t="s">
        <v>1</v>
      </c>
      <c r="E6" s="7" t="s">
        <v>1</v>
      </c>
      <c r="F6" s="208" t="s">
        <v>3</v>
      </c>
      <c r="G6" s="212" t="s">
        <v>235</v>
      </c>
      <c r="H6" s="259" t="s">
        <v>5</v>
      </c>
      <c r="I6" s="304" t="s">
        <v>5</v>
      </c>
      <c r="J6" s="10" t="s">
        <v>4</v>
      </c>
      <c r="K6" s="127" t="s">
        <v>217</v>
      </c>
    </row>
    <row r="7" spans="1:11" ht="15" thickBot="1" x14ac:dyDescent="0.4">
      <c r="A7" s="3"/>
      <c r="B7" s="12" t="s">
        <v>6</v>
      </c>
      <c r="C7" s="12" t="s">
        <v>7</v>
      </c>
      <c r="D7" s="12" t="s">
        <v>8</v>
      </c>
      <c r="E7" s="12" t="s">
        <v>9</v>
      </c>
      <c r="F7" s="205" t="s">
        <v>230</v>
      </c>
      <c r="G7" s="213" t="s">
        <v>242</v>
      </c>
      <c r="H7" s="260" t="s">
        <v>236</v>
      </c>
      <c r="I7" s="305" t="s">
        <v>289</v>
      </c>
      <c r="J7" s="14" t="s">
        <v>231</v>
      </c>
      <c r="K7" s="128" t="s">
        <v>9</v>
      </c>
    </row>
    <row r="8" spans="1:11" x14ac:dyDescent="0.35">
      <c r="A8" s="15" t="s">
        <v>10</v>
      </c>
      <c r="B8" s="16"/>
      <c r="C8" s="16"/>
      <c r="D8" s="16"/>
      <c r="E8" s="16"/>
      <c r="F8" s="17"/>
      <c r="G8" s="214"/>
      <c r="H8" s="261" t="s">
        <v>243</v>
      </c>
      <c r="I8" s="306"/>
      <c r="J8" s="18"/>
      <c r="K8" s="129"/>
    </row>
    <row r="9" spans="1:11" x14ac:dyDescent="0.35">
      <c r="A9" s="19"/>
      <c r="B9" s="20"/>
      <c r="C9" s="20"/>
      <c r="D9" s="20"/>
      <c r="E9" s="20"/>
      <c r="F9" s="21"/>
      <c r="G9" s="215"/>
      <c r="H9" s="262"/>
      <c r="I9" s="307"/>
      <c r="J9" s="22"/>
      <c r="K9" s="130"/>
    </row>
    <row r="10" spans="1:11" x14ac:dyDescent="0.35">
      <c r="A10" s="23" t="s">
        <v>219</v>
      </c>
      <c r="B10" s="25">
        <f t="shared" ref="B10:C11" si="0">SUM(B98)</f>
        <v>665547</v>
      </c>
      <c r="C10" s="25">
        <f t="shared" si="0"/>
        <v>675751</v>
      </c>
      <c r="D10" s="25">
        <v>644504</v>
      </c>
      <c r="E10" s="25">
        <f t="shared" ref="E10" si="1">SUM(E98)</f>
        <v>653735</v>
      </c>
      <c r="F10" s="26">
        <f t="shared" ref="F10:J11" si="2">SUM(F98)</f>
        <v>623000</v>
      </c>
      <c r="G10" s="216">
        <f t="shared" ref="G10" si="3">SUM(G98)</f>
        <v>195527</v>
      </c>
      <c r="H10" s="263">
        <f t="shared" ref="H10:H11" si="4">SUM(H98)</f>
        <v>16502</v>
      </c>
      <c r="I10" s="308">
        <f t="shared" ref="I10" si="5">SUM(I98)</f>
        <v>268392</v>
      </c>
      <c r="J10" s="27">
        <f t="shared" si="2"/>
        <v>232774</v>
      </c>
      <c r="K10" s="131">
        <f>SUM(K98)</f>
        <v>625441</v>
      </c>
    </row>
    <row r="11" spans="1:11" ht="15" thickBot="1" x14ac:dyDescent="0.4">
      <c r="A11" s="23" t="s">
        <v>12</v>
      </c>
      <c r="B11" s="25">
        <f t="shared" si="0"/>
        <v>433829</v>
      </c>
      <c r="C11" s="25">
        <f t="shared" si="0"/>
        <v>421406</v>
      </c>
      <c r="D11" s="25">
        <v>402326</v>
      </c>
      <c r="E11" s="25">
        <f t="shared" ref="E11" si="6">SUM(E99)</f>
        <v>391586</v>
      </c>
      <c r="F11" s="26">
        <f t="shared" si="2"/>
        <v>370550</v>
      </c>
      <c r="G11" s="216">
        <f t="shared" ref="G11" si="7">SUM(G99)</f>
        <v>99734</v>
      </c>
      <c r="H11" s="263">
        <f t="shared" si="4"/>
        <v>28359</v>
      </c>
      <c r="I11" s="308">
        <f t="shared" ref="I11" si="8">SUM(I99)</f>
        <v>149047</v>
      </c>
      <c r="J11" s="27">
        <f t="shared" si="2"/>
        <v>126661</v>
      </c>
      <c r="K11" s="131">
        <f>SUM(K99)</f>
        <v>259627</v>
      </c>
    </row>
    <row r="12" spans="1:11" ht="15" thickBot="1" x14ac:dyDescent="0.4">
      <c r="A12" s="28" t="s">
        <v>13</v>
      </c>
      <c r="B12" s="31">
        <f t="shared" ref="B12:D12" si="9">B10-B11</f>
        <v>231718</v>
      </c>
      <c r="C12" s="31">
        <f t="shared" si="9"/>
        <v>254345</v>
      </c>
      <c r="D12" s="31">
        <f t="shared" si="9"/>
        <v>242178</v>
      </c>
      <c r="E12" s="31">
        <f t="shared" ref="E12:J12" si="10">E10-E11</f>
        <v>262149</v>
      </c>
      <c r="F12" s="32">
        <f t="shared" si="10"/>
        <v>252450</v>
      </c>
      <c r="G12" s="217">
        <f t="shared" ref="G12" si="11">G10-G11</f>
        <v>95793</v>
      </c>
      <c r="H12" s="264">
        <f t="shared" si="10"/>
        <v>-11857</v>
      </c>
      <c r="I12" s="309">
        <f t="shared" ref="I12" si="12">I10-I11</f>
        <v>119345</v>
      </c>
      <c r="J12" s="33">
        <f t="shared" si="10"/>
        <v>106113</v>
      </c>
      <c r="K12" s="132">
        <f t="shared" ref="K12" si="13">K10-K11</f>
        <v>365814</v>
      </c>
    </row>
    <row r="13" spans="1:11" x14ac:dyDescent="0.35">
      <c r="A13" s="34"/>
      <c r="B13" s="37"/>
      <c r="C13" s="37"/>
      <c r="D13" s="37"/>
      <c r="E13" s="37"/>
      <c r="F13" s="38"/>
      <c r="G13" s="218"/>
      <c r="H13" s="265"/>
      <c r="I13" s="310"/>
      <c r="J13" s="39"/>
      <c r="K13" s="133"/>
    </row>
    <row r="14" spans="1:11" x14ac:dyDescent="0.35">
      <c r="A14" s="40" t="s">
        <v>14</v>
      </c>
      <c r="B14" s="25">
        <f t="shared" ref="B14:C14" si="14">SUM(B133)</f>
        <v>147971</v>
      </c>
      <c r="C14" s="25">
        <f t="shared" si="14"/>
        <v>135400</v>
      </c>
      <c r="D14" s="25">
        <v>161044</v>
      </c>
      <c r="E14" s="25">
        <f t="shared" ref="E14:K14" si="15">SUM(E133)</f>
        <v>201635</v>
      </c>
      <c r="F14" s="26">
        <f t="shared" si="15"/>
        <v>168432</v>
      </c>
      <c r="G14" s="216">
        <f t="shared" ref="G14" si="16">SUM(G133)</f>
        <v>30863</v>
      </c>
      <c r="H14" s="263">
        <f t="shared" si="15"/>
        <v>22863</v>
      </c>
      <c r="I14" s="308">
        <f t="shared" si="15"/>
        <v>43701</v>
      </c>
      <c r="J14" s="27">
        <f t="shared" si="15"/>
        <v>44237</v>
      </c>
      <c r="K14" s="131">
        <f t="shared" si="15"/>
        <v>167171</v>
      </c>
    </row>
    <row r="15" spans="1:11" ht="15" thickBot="1" x14ac:dyDescent="0.4">
      <c r="A15" s="40" t="s">
        <v>15</v>
      </c>
      <c r="B15" s="25">
        <f t="shared" ref="B15:C15" si="17">SUM(B135)</f>
        <v>71987</v>
      </c>
      <c r="C15" s="25">
        <f t="shared" si="17"/>
        <v>77942</v>
      </c>
      <c r="D15" s="25">
        <v>98400</v>
      </c>
      <c r="E15" s="25">
        <f>SUM(E135)</f>
        <v>124924</v>
      </c>
      <c r="F15" s="26">
        <f>SUM(F134,F135)</f>
        <v>96465</v>
      </c>
      <c r="G15" s="216">
        <f t="shared" ref="G15:K15" si="18">SUM(G135)</f>
        <v>24225</v>
      </c>
      <c r="H15" s="263">
        <f t="shared" si="18"/>
        <v>19025</v>
      </c>
      <c r="I15" s="308">
        <f t="shared" si="18"/>
        <v>40532</v>
      </c>
      <c r="J15" s="27">
        <f t="shared" si="18"/>
        <v>39179</v>
      </c>
      <c r="K15" s="131">
        <f t="shared" si="18"/>
        <v>102478</v>
      </c>
    </row>
    <row r="16" spans="1:11" ht="15" thickBot="1" x14ac:dyDescent="0.4">
      <c r="A16" s="28" t="s">
        <v>16</v>
      </c>
      <c r="B16" s="31">
        <f t="shared" ref="B16:J16" si="19">B14-B15</f>
        <v>75984</v>
      </c>
      <c r="C16" s="31">
        <f t="shared" si="19"/>
        <v>57458</v>
      </c>
      <c r="D16" s="31">
        <f t="shared" si="19"/>
        <v>62644</v>
      </c>
      <c r="E16" s="31">
        <f t="shared" ref="E16" si="20">E14-E15</f>
        <v>76711</v>
      </c>
      <c r="F16" s="32">
        <f>SUM(F14-F15)</f>
        <v>71967</v>
      </c>
      <c r="G16" s="217">
        <f>SUM(G14-G15)</f>
        <v>6638</v>
      </c>
      <c r="H16" s="264">
        <f>SUM(H14-H15)</f>
        <v>3838</v>
      </c>
      <c r="I16" s="309">
        <f>SUM(I14-I15)</f>
        <v>3169</v>
      </c>
      <c r="J16" s="33">
        <f t="shared" si="19"/>
        <v>5058</v>
      </c>
      <c r="K16" s="132">
        <f t="shared" ref="K16" si="21">K14-K15</f>
        <v>64693</v>
      </c>
    </row>
    <row r="17" spans="1:11" x14ac:dyDescent="0.35">
      <c r="A17" s="34"/>
      <c r="B17" s="37"/>
      <c r="C17" s="37"/>
      <c r="D17" s="37"/>
      <c r="E17" s="37"/>
      <c r="F17" s="38"/>
      <c r="G17" s="218"/>
      <c r="H17" s="265"/>
      <c r="I17" s="310"/>
      <c r="J17" s="39"/>
      <c r="K17" s="133"/>
    </row>
    <row r="18" spans="1:11" x14ac:dyDescent="0.35">
      <c r="A18" s="40" t="s">
        <v>17</v>
      </c>
      <c r="B18" s="25">
        <f t="shared" ref="B18:C19" si="22">SUM(B163)</f>
        <v>539029</v>
      </c>
      <c r="C18" s="25">
        <f t="shared" si="22"/>
        <v>539205</v>
      </c>
      <c r="D18" s="25">
        <v>556558</v>
      </c>
      <c r="E18" s="25">
        <f t="shared" ref="E18" si="23">SUM(E163)</f>
        <v>649337</v>
      </c>
      <c r="F18" s="26">
        <f t="shared" ref="F18:J19" si="24">SUM(F163)</f>
        <v>613200</v>
      </c>
      <c r="G18" s="216">
        <f t="shared" ref="G18" si="25">SUM(G163)</f>
        <v>144560</v>
      </c>
      <c r="H18" s="263">
        <f t="shared" ref="H18:H19" si="26">SUM(H163)</f>
        <v>144560</v>
      </c>
      <c r="I18" s="308">
        <f>SUM(I163)</f>
        <v>150641</v>
      </c>
      <c r="J18" s="27">
        <f t="shared" si="24"/>
        <v>150422</v>
      </c>
      <c r="K18" s="131">
        <f>SUM(K163)</f>
        <v>649337</v>
      </c>
    </row>
    <row r="19" spans="1:11" ht="15" thickBot="1" x14ac:dyDescent="0.4">
      <c r="A19" s="40" t="s">
        <v>18</v>
      </c>
      <c r="B19" s="25">
        <f t="shared" si="22"/>
        <v>298311</v>
      </c>
      <c r="C19" s="25">
        <f t="shared" si="22"/>
        <v>325642</v>
      </c>
      <c r="D19" s="25">
        <v>332543</v>
      </c>
      <c r="E19" s="25">
        <f t="shared" ref="E19" si="27">SUM(E164)</f>
        <v>350130</v>
      </c>
      <c r="F19" s="26">
        <f t="shared" si="24"/>
        <v>341735</v>
      </c>
      <c r="G19" s="216">
        <f t="shared" ref="G19" si="28">SUM(G164)</f>
        <v>77000</v>
      </c>
      <c r="H19" s="263">
        <f t="shared" si="26"/>
        <v>77000</v>
      </c>
      <c r="I19" s="308">
        <f>SUM(I164)</f>
        <v>78364</v>
      </c>
      <c r="J19" s="27">
        <f t="shared" si="24"/>
        <v>78364</v>
      </c>
      <c r="K19" s="131">
        <f>SUM(K164)</f>
        <v>342851</v>
      </c>
    </row>
    <row r="20" spans="1:11" ht="15" thickBot="1" x14ac:dyDescent="0.4">
      <c r="A20" s="28" t="s">
        <v>19</v>
      </c>
      <c r="B20" s="31">
        <f t="shared" ref="B20:D20" si="29">B18-B19</f>
        <v>240718</v>
      </c>
      <c r="C20" s="31">
        <f t="shared" si="29"/>
        <v>213563</v>
      </c>
      <c r="D20" s="31">
        <f t="shared" si="29"/>
        <v>224015</v>
      </c>
      <c r="E20" s="31">
        <f t="shared" ref="E20:J20" si="30">E18-E19</f>
        <v>299207</v>
      </c>
      <c r="F20" s="32">
        <f t="shared" si="30"/>
        <v>271465</v>
      </c>
      <c r="G20" s="217">
        <f t="shared" ref="G20" si="31">G18-G19</f>
        <v>67560</v>
      </c>
      <c r="H20" s="264">
        <f t="shared" si="30"/>
        <v>67560</v>
      </c>
      <c r="I20" s="309">
        <f t="shared" ref="I20" si="32">I18-I19</f>
        <v>72277</v>
      </c>
      <c r="J20" s="33">
        <f t="shared" si="30"/>
        <v>72058</v>
      </c>
      <c r="K20" s="132">
        <f t="shared" ref="K20" si="33">K18-K19</f>
        <v>306486</v>
      </c>
    </row>
    <row r="21" spans="1:11" x14ac:dyDescent="0.35">
      <c r="A21" s="34"/>
      <c r="B21" s="37"/>
      <c r="C21" s="37"/>
      <c r="D21" s="37"/>
      <c r="E21" s="37"/>
      <c r="F21" s="38"/>
      <c r="G21" s="218"/>
      <c r="H21" s="265"/>
      <c r="I21" s="310"/>
      <c r="J21" s="39"/>
      <c r="K21" s="133"/>
    </row>
    <row r="22" spans="1:11" x14ac:dyDescent="0.35">
      <c r="A22" s="40" t="s">
        <v>20</v>
      </c>
      <c r="B22" s="25">
        <f t="shared" ref="B22:C23" si="34">SUM(B206)</f>
        <v>380468</v>
      </c>
      <c r="C22" s="25">
        <f t="shared" si="34"/>
        <v>406090</v>
      </c>
      <c r="D22" s="25">
        <v>424690</v>
      </c>
      <c r="E22" s="25">
        <f>SUM(E206)</f>
        <v>388244</v>
      </c>
      <c r="F22" s="26">
        <f>SUM(F206)</f>
        <v>336125</v>
      </c>
      <c r="G22" s="216">
        <f t="shared" ref="G22" si="35">G206</f>
        <v>94750</v>
      </c>
      <c r="H22" s="263">
        <f t="shared" ref="H22:H23" si="36">H206</f>
        <v>69850</v>
      </c>
      <c r="I22" s="308">
        <f t="shared" ref="I22" si="37">I206</f>
        <v>171573</v>
      </c>
      <c r="J22" s="27">
        <f>SUM(J206)</f>
        <v>164647</v>
      </c>
      <c r="K22" s="131">
        <f>SUM(K206)</f>
        <v>357709</v>
      </c>
    </row>
    <row r="23" spans="1:11" ht="15" thickBot="1" x14ac:dyDescent="0.4">
      <c r="A23" s="40" t="s">
        <v>21</v>
      </c>
      <c r="B23" s="25">
        <f t="shared" si="34"/>
        <v>283237</v>
      </c>
      <c r="C23" s="25">
        <f t="shared" si="34"/>
        <v>314976</v>
      </c>
      <c r="D23" s="25">
        <v>290642</v>
      </c>
      <c r="E23" s="25">
        <f>SUM(E207)</f>
        <v>265567</v>
      </c>
      <c r="F23" s="26">
        <f>SUM(F207)</f>
        <v>220752</v>
      </c>
      <c r="G23" s="216">
        <f t="shared" ref="G23" si="38">G207</f>
        <v>62410</v>
      </c>
      <c r="H23" s="263">
        <f t="shared" si="36"/>
        <v>41608</v>
      </c>
      <c r="I23" s="308">
        <f t="shared" ref="I23" si="39">I207</f>
        <v>104315</v>
      </c>
      <c r="J23" s="27">
        <f>SUM(J207)</f>
        <v>73268</v>
      </c>
      <c r="K23" s="131">
        <f>SUM(K207)</f>
        <v>220209</v>
      </c>
    </row>
    <row r="24" spans="1:11" ht="15" thickBot="1" x14ac:dyDescent="0.4">
      <c r="A24" s="28" t="s">
        <v>22</v>
      </c>
      <c r="B24" s="31">
        <f t="shared" ref="B24:D24" si="40">B22-B23</f>
        <v>97231</v>
      </c>
      <c r="C24" s="31">
        <f t="shared" si="40"/>
        <v>91114</v>
      </c>
      <c r="D24" s="31">
        <f t="shared" si="40"/>
        <v>134048</v>
      </c>
      <c r="E24" s="31">
        <f t="shared" ref="E24:J24" si="41">E22-E23</f>
        <v>122677</v>
      </c>
      <c r="F24" s="32">
        <f t="shared" si="41"/>
        <v>115373</v>
      </c>
      <c r="G24" s="217">
        <f t="shared" ref="G24" si="42">G22-G23</f>
        <v>32340</v>
      </c>
      <c r="H24" s="264">
        <f t="shared" si="41"/>
        <v>28242</v>
      </c>
      <c r="I24" s="309">
        <f t="shared" ref="I24" si="43">I22-I23</f>
        <v>67258</v>
      </c>
      <c r="J24" s="33">
        <f t="shared" si="41"/>
        <v>91379</v>
      </c>
      <c r="K24" s="132">
        <f t="shared" ref="K24" si="44">K22-K23</f>
        <v>137500</v>
      </c>
    </row>
    <row r="25" spans="1:11" x14ac:dyDescent="0.35">
      <c r="A25" s="28"/>
      <c r="B25" s="37"/>
      <c r="C25" s="37"/>
      <c r="D25" s="37"/>
      <c r="E25" s="37"/>
      <c r="F25" s="38"/>
      <c r="G25" s="218"/>
      <c r="H25" s="265"/>
      <c r="I25" s="310"/>
      <c r="J25" s="39"/>
      <c r="K25" s="133"/>
    </row>
    <row r="26" spans="1:11" x14ac:dyDescent="0.35">
      <c r="A26" s="23" t="s">
        <v>23</v>
      </c>
      <c r="B26" s="37">
        <v>1725</v>
      </c>
      <c r="C26" s="37">
        <v>258</v>
      </c>
      <c r="D26" s="37">
        <v>5894</v>
      </c>
      <c r="E26" s="37"/>
      <c r="F26" s="38"/>
      <c r="G26" s="218"/>
      <c r="H26" s="265"/>
      <c r="I26" s="310"/>
      <c r="J26" s="39"/>
      <c r="K26" s="133">
        <v>0</v>
      </c>
    </row>
    <row r="27" spans="1:11" ht="15" thickBot="1" x14ac:dyDescent="0.4">
      <c r="A27" s="19"/>
      <c r="B27" s="37"/>
      <c r="C27" s="37"/>
      <c r="D27" s="37"/>
      <c r="E27" s="37"/>
      <c r="F27" s="38"/>
      <c r="G27" s="218"/>
      <c r="H27" s="265"/>
      <c r="I27" s="310"/>
      <c r="J27" s="39"/>
      <c r="K27" s="133"/>
    </row>
    <row r="28" spans="1:11" ht="15" thickBot="1" x14ac:dyDescent="0.4">
      <c r="A28" s="15" t="s">
        <v>24</v>
      </c>
      <c r="B28" s="42">
        <v>1725</v>
      </c>
      <c r="C28" s="42"/>
      <c r="D28" s="42">
        <f>D26</f>
        <v>5894</v>
      </c>
      <c r="E28" s="42"/>
      <c r="F28" s="43"/>
      <c r="G28" s="219"/>
      <c r="H28" s="266"/>
      <c r="I28" s="311"/>
      <c r="J28" s="44"/>
      <c r="K28" s="134">
        <f>K26</f>
        <v>0</v>
      </c>
    </row>
    <row r="29" spans="1:11" x14ac:dyDescent="0.35">
      <c r="A29" s="28"/>
      <c r="B29" s="37"/>
      <c r="C29" s="37"/>
      <c r="D29" s="37"/>
      <c r="E29" s="37"/>
      <c r="F29" s="38"/>
      <c r="G29" s="218"/>
      <c r="H29" s="265"/>
      <c r="I29" s="310"/>
      <c r="J29" s="39"/>
      <c r="K29" s="133"/>
    </row>
    <row r="30" spans="1:11" x14ac:dyDescent="0.35">
      <c r="A30" s="23" t="s">
        <v>25</v>
      </c>
      <c r="B30" s="37">
        <f t="shared" ref="B30:C30" si="45">SUM(B226)</f>
        <v>12686</v>
      </c>
      <c r="C30" s="37">
        <f t="shared" si="45"/>
        <v>21704</v>
      </c>
      <c r="D30" s="37">
        <v>18659</v>
      </c>
      <c r="E30" s="37">
        <f>SUM(E226)</f>
        <v>20999</v>
      </c>
      <c r="F30" s="38">
        <f t="shared" ref="F30" si="46">SUM(F226)</f>
        <v>18600</v>
      </c>
      <c r="G30" s="218">
        <f>SUM(G226)</f>
        <v>933</v>
      </c>
      <c r="H30" s="265">
        <v>933</v>
      </c>
      <c r="I30" s="310">
        <f>SUM(I226)</f>
        <v>858</v>
      </c>
      <c r="J30" s="39">
        <f>SUM(J226)</f>
        <v>858</v>
      </c>
      <c r="K30" s="133">
        <f>SUM(K226)</f>
        <v>19116</v>
      </c>
    </row>
    <row r="31" spans="1:11" ht="15" thickBot="1" x14ac:dyDescent="0.4">
      <c r="A31" s="19" t="s">
        <v>26</v>
      </c>
      <c r="B31" s="37">
        <f t="shared" ref="B31:C31" si="47">SUM(B227,B228)</f>
        <v>1152</v>
      </c>
      <c r="C31" s="37">
        <f t="shared" si="47"/>
        <v>1132</v>
      </c>
      <c r="D31" s="37">
        <v>880</v>
      </c>
      <c r="E31" s="37">
        <f>SUM(E227)</f>
        <v>2566</v>
      </c>
      <c r="F31" s="38">
        <f t="shared" ref="F31" si="48">SUM(F227,F228)</f>
        <v>6285</v>
      </c>
      <c r="G31" s="218">
        <f>G227</f>
        <v>118</v>
      </c>
      <c r="H31" s="265">
        <f>H227</f>
        <v>118</v>
      </c>
      <c r="I31" s="310">
        <f>I227</f>
        <v>118</v>
      </c>
      <c r="J31" s="39">
        <f>SUM(J227)</f>
        <v>118</v>
      </c>
      <c r="K31" s="133">
        <f>SUM(K227)</f>
        <v>1670</v>
      </c>
    </row>
    <row r="32" spans="1:11" ht="15" thickBot="1" x14ac:dyDescent="0.4">
      <c r="A32" s="15" t="s">
        <v>27</v>
      </c>
      <c r="B32" s="42">
        <f t="shared" ref="B32:J32" si="49">B30-B31</f>
        <v>11534</v>
      </c>
      <c r="C32" s="42">
        <f t="shared" si="49"/>
        <v>20572</v>
      </c>
      <c r="D32" s="42">
        <f t="shared" si="49"/>
        <v>17779</v>
      </c>
      <c r="E32" s="42">
        <f t="shared" ref="E32" si="50">E30-E31</f>
        <v>18433</v>
      </c>
      <c r="F32" s="43">
        <f t="shared" si="49"/>
        <v>12315</v>
      </c>
      <c r="G32" s="219">
        <f>G30-G31</f>
        <v>815</v>
      </c>
      <c r="H32" s="266">
        <f>H30-H31</f>
        <v>815</v>
      </c>
      <c r="I32" s="311">
        <f>I30-I31</f>
        <v>740</v>
      </c>
      <c r="J32" s="44">
        <f t="shared" si="49"/>
        <v>740</v>
      </c>
      <c r="K32" s="134">
        <f t="shared" ref="K32" si="51">K30-K31</f>
        <v>17446</v>
      </c>
    </row>
    <row r="33" spans="1:11" ht="15" thickBot="1" x14ac:dyDescent="0.4">
      <c r="A33" s="15"/>
      <c r="B33" s="37"/>
      <c r="C33" s="37"/>
      <c r="D33" s="37"/>
      <c r="E33" s="37"/>
      <c r="F33" s="38"/>
      <c r="G33" s="218"/>
      <c r="H33" s="265"/>
      <c r="I33" s="310"/>
      <c r="J33" s="39"/>
      <c r="K33" s="133"/>
    </row>
    <row r="34" spans="1:11" ht="15" thickBot="1" x14ac:dyDescent="0.4">
      <c r="A34" s="19" t="s">
        <v>28</v>
      </c>
      <c r="B34" s="45">
        <f>SUM(B10+B14+B18+B22+B26+B30)</f>
        <v>1747426</v>
      </c>
      <c r="C34" s="45">
        <f>SUM(C10+C14+C18+C22+C30+C26)</f>
        <v>1778408</v>
      </c>
      <c r="D34" s="45">
        <f>SUM(D10+D14+D18+D22+D30+D26)</f>
        <v>1811349</v>
      </c>
      <c r="E34" s="45">
        <f>SUM(E10+E14+E18+E22+E26+E30)</f>
        <v>1913950</v>
      </c>
      <c r="F34" s="46">
        <f>SUM(F10+F14+F18+F22+F30)</f>
        <v>1759357</v>
      </c>
      <c r="G34" s="220">
        <f t="shared" ref="G34" si="52">SUM(G10, G14, G18, G22, G30)</f>
        <v>466633</v>
      </c>
      <c r="H34" s="267">
        <f t="shared" ref="H34:H35" si="53">SUM(H10, H14, H18, H22, H30)</f>
        <v>254708</v>
      </c>
      <c r="I34" s="312">
        <f t="shared" ref="I34" si="54">SUM(I10, I14, I18, I22, I30)</f>
        <v>635165</v>
      </c>
      <c r="J34" s="47">
        <f>SUM(J10+J14+J18+J22+J26+J30)</f>
        <v>592938</v>
      </c>
      <c r="K34" s="135">
        <f>SUM(K10+K14+K18+K22+K30+K26)</f>
        <v>1818774</v>
      </c>
    </row>
    <row r="35" spans="1:11" ht="15" thickBot="1" x14ac:dyDescent="0.4">
      <c r="A35" s="40" t="s">
        <v>29</v>
      </c>
      <c r="B35" s="25">
        <f t="shared" ref="B35:J35" si="55">B23+B19+B15+B11+B31</f>
        <v>1088516</v>
      </c>
      <c r="C35" s="25">
        <f t="shared" si="55"/>
        <v>1141098</v>
      </c>
      <c r="D35" s="25">
        <f t="shared" si="55"/>
        <v>1124791</v>
      </c>
      <c r="E35" s="25">
        <f t="shared" ref="E35" si="56">E23+E19+E15+E11+E31</f>
        <v>1134773</v>
      </c>
      <c r="F35" s="26">
        <f>SUM(F11,F15,F19,F23,F31)</f>
        <v>1035787</v>
      </c>
      <c r="G35" s="216">
        <f t="shared" ref="G35" si="57">SUM(G11, G15, G19, G23, G31)</f>
        <v>263487</v>
      </c>
      <c r="H35" s="263">
        <f t="shared" si="53"/>
        <v>166110</v>
      </c>
      <c r="I35" s="308">
        <f t="shared" ref="I35" si="58">SUM(I11, I15, I19, I23, I31)</f>
        <v>372376</v>
      </c>
      <c r="J35" s="27">
        <f t="shared" si="55"/>
        <v>317590</v>
      </c>
      <c r="K35" s="131">
        <f t="shared" ref="K35" si="59">K23+K19+K15+K11+K31</f>
        <v>926835</v>
      </c>
    </row>
    <row r="36" spans="1:11" s="189" customFormat="1" x14ac:dyDescent="0.35">
      <c r="A36" s="184" t="s">
        <v>30</v>
      </c>
      <c r="B36" s="185">
        <f t="shared" ref="B36:D36" si="60">SUM(B34-B35)</f>
        <v>658910</v>
      </c>
      <c r="C36" s="185">
        <f t="shared" si="60"/>
        <v>637310</v>
      </c>
      <c r="D36" s="185">
        <f t="shared" si="60"/>
        <v>686558</v>
      </c>
      <c r="E36" s="185">
        <f t="shared" ref="E36:J36" si="61">SUM(E34-E35)</f>
        <v>779177</v>
      </c>
      <c r="F36" s="186">
        <f t="shared" si="61"/>
        <v>723570</v>
      </c>
      <c r="G36" s="221">
        <f t="shared" ref="G36" si="62">SUM(G34-G35)</f>
        <v>203146</v>
      </c>
      <c r="H36" s="268">
        <f t="shared" si="61"/>
        <v>88598</v>
      </c>
      <c r="I36" s="313">
        <f t="shared" ref="I36" si="63">SUM(I34-I35)</f>
        <v>262789</v>
      </c>
      <c r="J36" s="187">
        <f t="shared" si="61"/>
        <v>275348</v>
      </c>
      <c r="K36" s="188">
        <f t="shared" ref="K36" si="64">SUM(K34-K35)</f>
        <v>891939</v>
      </c>
    </row>
    <row r="37" spans="1:11" x14ac:dyDescent="0.35">
      <c r="A37" s="28" t="s">
        <v>31</v>
      </c>
      <c r="B37" s="48">
        <v>-579752</v>
      </c>
      <c r="C37" s="48">
        <v>-616095</v>
      </c>
      <c r="D37" s="48">
        <v>-685571</v>
      </c>
      <c r="E37" s="48">
        <f>SUM(E278)</f>
        <v>-654680</v>
      </c>
      <c r="F37" s="49">
        <f t="shared" ref="F37" si="65">F278</f>
        <v>-641904</v>
      </c>
      <c r="G37" s="222">
        <f>G278</f>
        <v>-408313</v>
      </c>
      <c r="H37" s="269">
        <f>H278</f>
        <v>-377302</v>
      </c>
      <c r="I37" s="314">
        <f>I278</f>
        <v>-484005</v>
      </c>
      <c r="J37" s="50">
        <f>SUM(J278)</f>
        <v>-420044</v>
      </c>
      <c r="K37" s="136">
        <f>SUM(K278)</f>
        <v>-518316</v>
      </c>
    </row>
    <row r="38" spans="1:11" hidden="1" x14ac:dyDescent="0.35">
      <c r="A38" s="40" t="s">
        <v>32</v>
      </c>
      <c r="B38" s="37"/>
      <c r="C38" s="37">
        <v>0</v>
      </c>
      <c r="D38" s="37">
        <v>0</v>
      </c>
      <c r="E38" s="37">
        <v>0</v>
      </c>
      <c r="F38" s="38">
        <v>0</v>
      </c>
      <c r="G38" s="218">
        <v>0</v>
      </c>
      <c r="H38" s="265">
        <v>0</v>
      </c>
      <c r="I38" s="310">
        <v>0</v>
      </c>
      <c r="J38" s="39">
        <v>0</v>
      </c>
      <c r="K38" s="133">
        <v>0</v>
      </c>
    </row>
    <row r="39" spans="1:11" s="179" customFormat="1" x14ac:dyDescent="0.35">
      <c r="A39" s="100" t="s">
        <v>33</v>
      </c>
      <c r="B39" s="180">
        <f>SUM(B246)</f>
        <v>-47364</v>
      </c>
      <c r="C39" s="180">
        <f>SUM(C246)</f>
        <v>-46679</v>
      </c>
      <c r="D39" s="180">
        <v>-57505</v>
      </c>
      <c r="E39" s="180">
        <f>SUM(E246)</f>
        <v>-55855</v>
      </c>
      <c r="F39" s="181">
        <f>SUM(F246)</f>
        <v>-58300</v>
      </c>
      <c r="G39" s="223">
        <f>G246</f>
        <v>-21100</v>
      </c>
      <c r="H39" s="270">
        <f>H246</f>
        <v>-17600</v>
      </c>
      <c r="I39" s="315">
        <f>I246</f>
        <v>-25708</v>
      </c>
      <c r="J39" s="182">
        <f>SUM(J246)</f>
        <v>-20058</v>
      </c>
      <c r="K39" s="183">
        <f>SUM(K246)</f>
        <v>-42268</v>
      </c>
    </row>
    <row r="40" spans="1:11" x14ac:dyDescent="0.35">
      <c r="A40" s="34" t="s">
        <v>227</v>
      </c>
      <c r="B40" s="37"/>
      <c r="C40" s="37"/>
      <c r="D40" s="37"/>
      <c r="E40" s="37">
        <v>34284</v>
      </c>
      <c r="F40" s="397"/>
      <c r="G40" s="398"/>
      <c r="H40" s="399"/>
      <c r="I40" s="400"/>
      <c r="J40" s="401"/>
      <c r="K40" s="402">
        <v>15721</v>
      </c>
    </row>
    <row r="41" spans="1:11" ht="15" thickBot="1" x14ac:dyDescent="0.4">
      <c r="B41" s="37"/>
      <c r="C41" s="37"/>
      <c r="D41" s="37">
        <v>-621</v>
      </c>
      <c r="E41" s="37"/>
      <c r="F41" s="38"/>
      <c r="G41" s="218"/>
      <c r="H41" s="265"/>
      <c r="I41" s="310"/>
      <c r="J41" s="39"/>
      <c r="K41" s="133">
        <v>0</v>
      </c>
    </row>
    <row r="42" spans="1:11" s="179" customFormat="1" ht="15" thickBot="1" x14ac:dyDescent="0.4">
      <c r="A42" s="100" t="s">
        <v>34</v>
      </c>
      <c r="B42" s="42">
        <f>SUM(B36:B41)</f>
        <v>31794</v>
      </c>
      <c r="C42" s="42">
        <f>SUM(C36:C41)</f>
        <v>-25464</v>
      </c>
      <c r="D42" s="42">
        <f>SUM(D36:D41)</f>
        <v>-57139</v>
      </c>
      <c r="E42" s="42"/>
      <c r="F42" s="43">
        <f t="shared" ref="F42:K42" si="66">SUM(F36:F41)</f>
        <v>23366</v>
      </c>
      <c r="G42" s="219">
        <f t="shared" si="66"/>
        <v>-226267</v>
      </c>
      <c r="H42" s="266">
        <f t="shared" si="66"/>
        <v>-306304</v>
      </c>
      <c r="I42" s="311">
        <f t="shared" si="66"/>
        <v>-246924</v>
      </c>
      <c r="J42" s="44">
        <f t="shared" si="66"/>
        <v>-164754</v>
      </c>
      <c r="K42" s="134">
        <f t="shared" si="66"/>
        <v>347076</v>
      </c>
    </row>
    <row r="43" spans="1:11" x14ac:dyDescent="0.35">
      <c r="A43" s="34"/>
      <c r="B43" s="37"/>
      <c r="C43" s="37"/>
      <c r="D43" s="37"/>
      <c r="E43" s="37"/>
      <c r="F43" s="38"/>
      <c r="G43" s="218"/>
      <c r="H43" s="265"/>
      <c r="I43" s="310"/>
      <c r="J43" s="39"/>
      <c r="K43" s="133">
        <v>0</v>
      </c>
    </row>
    <row r="44" spans="1:11" x14ac:dyDescent="0.35">
      <c r="A44" s="34" t="s">
        <v>234</v>
      </c>
      <c r="B44" s="37">
        <v>0</v>
      </c>
      <c r="C44" s="37">
        <v>500</v>
      </c>
      <c r="D44" s="37">
        <v>500</v>
      </c>
      <c r="E44" s="37"/>
      <c r="F44" s="397"/>
      <c r="G44" s="398">
        <v>124000</v>
      </c>
      <c r="H44" s="399">
        <v>124000</v>
      </c>
      <c r="I44" s="400">
        <v>124000</v>
      </c>
      <c r="J44" s="401">
        <v>124000</v>
      </c>
      <c r="K44" s="402">
        <v>0</v>
      </c>
    </row>
    <row r="45" spans="1:11" ht="15" thickBot="1" x14ac:dyDescent="0.4">
      <c r="A45" s="40" t="s">
        <v>35</v>
      </c>
      <c r="B45" s="53">
        <f>SUM(B36+B37+B39+B38+B44+B41)</f>
        <v>31794</v>
      </c>
      <c r="C45" s="53">
        <f>SUM(C36+C37+C39+C38+C44+C41)</f>
        <v>-24964</v>
      </c>
      <c r="D45" s="53">
        <f>SUM(D36+D37+D39+D38+D44+D41)</f>
        <v>-56639</v>
      </c>
      <c r="E45" s="53">
        <f>SUM(E36+E37+E39+E38+E44+E41+E40)</f>
        <v>102926</v>
      </c>
      <c r="F45" s="54">
        <f>SUM(F36+F37+F39+F38+F44+F41)</f>
        <v>23366</v>
      </c>
      <c r="G45" s="224">
        <f>SUM(G42:G44)</f>
        <v>-102267</v>
      </c>
      <c r="H45" s="271">
        <f>SUM(H42:H44)</f>
        <v>-182304</v>
      </c>
      <c r="I45" s="316">
        <f>SUM(I42:I44)</f>
        <v>-122924</v>
      </c>
      <c r="J45" s="55">
        <f>SUM(J42:J44)</f>
        <v>-40754</v>
      </c>
      <c r="K45" s="137">
        <f>SUM(K42:K44)</f>
        <v>347076</v>
      </c>
    </row>
    <row r="46" spans="1:11" ht="15" thickBot="1" x14ac:dyDescent="0.4">
      <c r="A46" s="40" t="s">
        <v>224</v>
      </c>
      <c r="B46" s="140"/>
      <c r="C46" s="140"/>
      <c r="D46" s="140"/>
      <c r="E46" s="168">
        <v>-2295</v>
      </c>
      <c r="F46" s="141">
        <v>-2500</v>
      </c>
      <c r="G46" s="216"/>
      <c r="H46" s="263"/>
      <c r="I46" s="308"/>
      <c r="J46" s="148"/>
      <c r="K46" s="157"/>
    </row>
    <row r="47" spans="1:11" ht="15" thickBot="1" x14ac:dyDescent="0.4">
      <c r="A47" s="202" t="s">
        <v>225</v>
      </c>
      <c r="B47" s="191" t="e">
        <f>SUM(B42+#REF!)</f>
        <v>#REF!</v>
      </c>
      <c r="C47" s="31" t="e">
        <f>SUM(#REF!+#REF!)</f>
        <v>#REF!</v>
      </c>
      <c r="D47" s="203">
        <v>-56634</v>
      </c>
      <c r="E47" s="170">
        <f t="shared" ref="E47:K47" si="67">SUM(E45:E46)</f>
        <v>100631</v>
      </c>
      <c r="F47" s="43">
        <f t="shared" si="67"/>
        <v>20866</v>
      </c>
      <c r="G47" s="219">
        <f t="shared" si="67"/>
        <v>-102267</v>
      </c>
      <c r="H47" s="266">
        <f t="shared" si="67"/>
        <v>-182304</v>
      </c>
      <c r="I47" s="311">
        <f t="shared" si="67"/>
        <v>-122924</v>
      </c>
      <c r="J47" s="58">
        <f>SUM(J45:J46)</f>
        <v>-40754</v>
      </c>
      <c r="K47" s="204">
        <f t="shared" si="67"/>
        <v>347076</v>
      </c>
    </row>
    <row r="48" spans="1:11" x14ac:dyDescent="0.35">
      <c r="A48" s="143" t="s">
        <v>145</v>
      </c>
      <c r="B48" s="201">
        <v>-24025</v>
      </c>
      <c r="C48" s="48">
        <v>-24268</v>
      </c>
      <c r="D48" s="48">
        <v>-26936</v>
      </c>
      <c r="E48" s="201"/>
      <c r="F48" s="200"/>
      <c r="G48" s="226"/>
      <c r="H48" s="273"/>
      <c r="I48" s="371"/>
      <c r="J48" s="201"/>
      <c r="K48" s="48"/>
    </row>
    <row r="49" spans="1:11" ht="15" thickBot="1" x14ac:dyDescent="0.4">
      <c r="A49" s="57" t="s">
        <v>226</v>
      </c>
      <c r="B49" s="144" t="e">
        <f t="shared" ref="B49:D49" si="68">B47+B48</f>
        <v>#REF!</v>
      </c>
      <c r="C49" s="144" t="e">
        <f t="shared" si="68"/>
        <v>#REF!</v>
      </c>
      <c r="D49" s="144">
        <f t="shared" si="68"/>
        <v>-83570</v>
      </c>
      <c r="E49" s="59"/>
      <c r="F49" s="60"/>
      <c r="G49" s="227"/>
      <c r="H49" s="274"/>
      <c r="I49" s="372"/>
      <c r="J49" s="59"/>
      <c r="K49" s="144"/>
    </row>
    <row r="50" spans="1:11" x14ac:dyDescent="0.35">
      <c r="A50" s="57"/>
      <c r="B50" s="35"/>
      <c r="C50" s="51"/>
      <c r="D50" s="51"/>
      <c r="E50" s="35"/>
      <c r="F50" s="51"/>
      <c r="G50" s="228"/>
      <c r="H50" s="275"/>
      <c r="I50" s="373"/>
      <c r="J50" s="35"/>
      <c r="K50" s="51"/>
    </row>
    <row r="51" spans="1:11" ht="15" thickBot="1" x14ac:dyDescent="0.4">
      <c r="A51" s="40"/>
      <c r="B51" s="35"/>
      <c r="C51" s="35"/>
      <c r="D51" s="35"/>
      <c r="E51" s="35"/>
      <c r="F51" s="35"/>
      <c r="G51" s="229"/>
      <c r="H51" s="276"/>
      <c r="I51" s="374"/>
      <c r="J51" s="35"/>
      <c r="K51" s="35"/>
    </row>
    <row r="52" spans="1:11" x14ac:dyDescent="0.35">
      <c r="A52" s="3"/>
      <c r="B52" s="4"/>
      <c r="C52" s="5"/>
      <c r="D52" s="5"/>
      <c r="E52" s="169"/>
      <c r="F52" s="6" t="s">
        <v>216</v>
      </c>
      <c r="G52" s="211" t="s">
        <v>238</v>
      </c>
      <c r="H52" s="258" t="s">
        <v>239</v>
      </c>
      <c r="I52" s="303" t="s">
        <v>271</v>
      </c>
      <c r="J52" s="151" t="s">
        <v>281</v>
      </c>
      <c r="K52" s="126" t="s">
        <v>218</v>
      </c>
    </row>
    <row r="53" spans="1:11" x14ac:dyDescent="0.35">
      <c r="A53" s="3"/>
      <c r="B53" s="7" t="s">
        <v>2</v>
      </c>
      <c r="C53" s="8" t="s">
        <v>1</v>
      </c>
      <c r="D53" s="8" t="s">
        <v>1</v>
      </c>
      <c r="E53" s="7" t="s">
        <v>1</v>
      </c>
      <c r="F53" s="9" t="s">
        <v>3</v>
      </c>
      <c r="G53" s="212" t="s">
        <v>235</v>
      </c>
      <c r="H53" s="259" t="s">
        <v>5</v>
      </c>
      <c r="I53" s="304" t="s">
        <v>5</v>
      </c>
      <c r="J53" s="10" t="s">
        <v>4</v>
      </c>
      <c r="K53" s="127" t="s">
        <v>217</v>
      </c>
    </row>
    <row r="54" spans="1:11" ht="15" thickBot="1" x14ac:dyDescent="0.4">
      <c r="A54" s="3"/>
      <c r="B54" s="12" t="s">
        <v>6</v>
      </c>
      <c r="C54" s="12" t="s">
        <v>7</v>
      </c>
      <c r="D54" s="12" t="s">
        <v>8</v>
      </c>
      <c r="E54" s="12" t="s">
        <v>9</v>
      </c>
      <c r="F54" s="13" t="s">
        <v>230</v>
      </c>
      <c r="G54" s="213" t="s">
        <v>240</v>
      </c>
      <c r="H54" s="260" t="s">
        <v>236</v>
      </c>
      <c r="I54" s="305" t="s">
        <v>289</v>
      </c>
      <c r="J54" s="14" t="s">
        <v>231</v>
      </c>
      <c r="K54" s="128" t="s">
        <v>9</v>
      </c>
    </row>
    <row r="55" spans="1:11" x14ac:dyDescent="0.35">
      <c r="A55" s="15" t="s">
        <v>36</v>
      </c>
      <c r="B55" s="190"/>
      <c r="C55" s="61"/>
      <c r="D55" s="61"/>
      <c r="E55" s="61"/>
      <c r="F55" s="62"/>
      <c r="G55" s="214"/>
      <c r="H55" s="261" t="s">
        <v>237</v>
      </c>
      <c r="I55" s="306"/>
      <c r="J55" s="63"/>
      <c r="K55" s="158"/>
    </row>
    <row r="56" spans="1:11" x14ac:dyDescent="0.35">
      <c r="A56" s="3" t="s">
        <v>270</v>
      </c>
      <c r="B56" s="178"/>
      <c r="C56" s="64"/>
      <c r="D56" s="64"/>
      <c r="E56" s="64"/>
      <c r="F56" s="65"/>
      <c r="G56" s="229"/>
      <c r="H56" s="276"/>
      <c r="I56" s="319"/>
      <c r="J56" s="66"/>
      <c r="K56" s="159"/>
    </row>
    <row r="57" spans="1:11" x14ac:dyDescent="0.35">
      <c r="A57" s="23" t="s">
        <v>11</v>
      </c>
      <c r="B57" s="178">
        <v>171992</v>
      </c>
      <c r="C57" s="64">
        <v>180586</v>
      </c>
      <c r="D57" s="64">
        <v>163111</v>
      </c>
      <c r="E57" s="64">
        <v>150982</v>
      </c>
      <c r="F57" s="65">
        <v>143000</v>
      </c>
      <c r="G57" s="229">
        <v>16502</v>
      </c>
      <c r="H57" s="276">
        <v>16502</v>
      </c>
      <c r="I57" s="319">
        <v>13509</v>
      </c>
      <c r="J57" s="66">
        <v>14991</v>
      </c>
      <c r="K57" s="159">
        <v>150982</v>
      </c>
    </row>
    <row r="58" spans="1:11" x14ac:dyDescent="0.35">
      <c r="A58" s="23" t="s">
        <v>12</v>
      </c>
      <c r="B58" s="178">
        <v>72839</v>
      </c>
      <c r="C58" s="64">
        <v>71483</v>
      </c>
      <c r="D58" s="64">
        <v>65416</v>
      </c>
      <c r="E58" s="64">
        <v>57458</v>
      </c>
      <c r="F58" s="65">
        <v>59000</v>
      </c>
      <c r="G58" s="229">
        <v>11123</v>
      </c>
      <c r="H58" s="276">
        <v>11123</v>
      </c>
      <c r="I58" s="319">
        <v>10661</v>
      </c>
      <c r="J58" s="66">
        <v>10661</v>
      </c>
      <c r="K58" s="159">
        <v>57444</v>
      </c>
    </row>
    <row r="59" spans="1:11" ht="15" thickBot="1" x14ac:dyDescent="0.4">
      <c r="A59" s="19" t="s">
        <v>37</v>
      </c>
      <c r="B59" s="178">
        <v>56227</v>
      </c>
      <c r="C59" s="64">
        <v>46214</v>
      </c>
      <c r="D59" s="64">
        <v>43645</v>
      </c>
      <c r="E59" s="64">
        <v>37637</v>
      </c>
      <c r="F59" s="65">
        <v>23000</v>
      </c>
      <c r="G59" s="229">
        <v>17236</v>
      </c>
      <c r="H59" s="276">
        <v>17236</v>
      </c>
      <c r="I59" s="319">
        <v>17236</v>
      </c>
      <c r="J59" s="66">
        <v>17236</v>
      </c>
      <c r="K59" s="159">
        <v>35841</v>
      </c>
    </row>
    <row r="60" spans="1:11" ht="15" thickBot="1" x14ac:dyDescent="0.4">
      <c r="A60" s="15" t="s">
        <v>38</v>
      </c>
      <c r="B60" s="191">
        <f t="shared" ref="B60:D60" si="69">B57-(B58+B59)</f>
        <v>42926</v>
      </c>
      <c r="C60" s="30">
        <f t="shared" si="69"/>
        <v>62889</v>
      </c>
      <c r="D60" s="30">
        <f t="shared" si="69"/>
        <v>54050</v>
      </c>
      <c r="E60" s="30">
        <f>E57-(E58+E59)</f>
        <v>55887</v>
      </c>
      <c r="F60" s="67">
        <f>SUM(F57-F58-F59)</f>
        <v>61000</v>
      </c>
      <c r="G60" s="230">
        <f>G57-(G58+G59)</f>
        <v>-11857</v>
      </c>
      <c r="H60" s="277">
        <f>H57-(H58+H59)</f>
        <v>-11857</v>
      </c>
      <c r="I60" s="320">
        <f>I57-(I58+I59)</f>
        <v>-14388</v>
      </c>
      <c r="J60" s="68">
        <f>J57-(J58+J59)</f>
        <v>-12906</v>
      </c>
      <c r="K60" s="160">
        <f t="shared" ref="K60" si="70">K57-(K58+K59)</f>
        <v>57697</v>
      </c>
    </row>
    <row r="61" spans="1:11" x14ac:dyDescent="0.35">
      <c r="A61" s="19"/>
      <c r="B61" s="178"/>
      <c r="C61" s="64"/>
      <c r="D61" s="64"/>
      <c r="E61" s="171"/>
      <c r="F61" s="69"/>
      <c r="G61" s="231"/>
      <c r="H61" s="278"/>
      <c r="I61" s="321"/>
      <c r="J61" s="70"/>
      <c r="K61" s="159"/>
    </row>
    <row r="62" spans="1:11" x14ac:dyDescent="0.35">
      <c r="A62" s="3" t="s">
        <v>279</v>
      </c>
      <c r="B62" s="178"/>
      <c r="C62" s="64"/>
      <c r="D62" s="64"/>
      <c r="E62" s="171"/>
      <c r="F62" s="69"/>
      <c r="G62" s="231"/>
      <c r="H62" s="278"/>
      <c r="I62" s="321"/>
      <c r="J62" s="70"/>
      <c r="K62" s="159"/>
    </row>
    <row r="63" spans="1:11" x14ac:dyDescent="0.35">
      <c r="A63" s="23" t="s">
        <v>39</v>
      </c>
      <c r="B63" s="178">
        <v>186886</v>
      </c>
      <c r="C63" s="64">
        <v>176447</v>
      </c>
      <c r="D63" s="64">
        <v>151539</v>
      </c>
      <c r="E63" s="64">
        <v>200180</v>
      </c>
      <c r="F63" s="65">
        <v>199000</v>
      </c>
      <c r="G63" s="229">
        <v>179025</v>
      </c>
      <c r="H63" s="276"/>
      <c r="I63" s="319">
        <v>205000</v>
      </c>
      <c r="J63" s="66">
        <v>191763</v>
      </c>
      <c r="K63" s="159">
        <v>199940</v>
      </c>
    </row>
    <row r="64" spans="1:11" x14ac:dyDescent="0.35">
      <c r="A64" s="23" t="s">
        <v>12</v>
      </c>
      <c r="B64" s="178">
        <v>71735</v>
      </c>
      <c r="C64" s="64">
        <v>80465</v>
      </c>
      <c r="D64" s="64">
        <v>56025</v>
      </c>
      <c r="E64" s="64">
        <v>86598</v>
      </c>
      <c r="F64" s="65">
        <v>85900</v>
      </c>
      <c r="G64" s="229">
        <v>5000</v>
      </c>
      <c r="H64" s="276"/>
      <c r="I64" s="319">
        <v>25000</v>
      </c>
      <c r="J64" s="66">
        <v>42925</v>
      </c>
      <c r="K64" s="159">
        <v>71856</v>
      </c>
    </row>
    <row r="65" spans="1:11" ht="15" thickBot="1" x14ac:dyDescent="0.4">
      <c r="A65" s="19" t="s">
        <v>37</v>
      </c>
      <c r="B65" s="178">
        <v>61507</v>
      </c>
      <c r="C65" s="64">
        <v>38128</v>
      </c>
      <c r="D65" s="64">
        <v>45816</v>
      </c>
      <c r="E65" s="64">
        <v>39002</v>
      </c>
      <c r="F65" s="65">
        <v>41000</v>
      </c>
      <c r="G65" s="229">
        <v>66375</v>
      </c>
      <c r="H65" s="276"/>
      <c r="I65" s="319">
        <v>62000</v>
      </c>
      <c r="J65" s="66">
        <v>52060</v>
      </c>
      <c r="K65" s="159">
        <v>39002</v>
      </c>
    </row>
    <row r="66" spans="1:11" ht="15" thickBot="1" x14ac:dyDescent="0.4">
      <c r="A66" s="15" t="s">
        <v>40</v>
      </c>
      <c r="B66" s="191">
        <f t="shared" ref="B66:D66" si="71">B63-(B64+B65)</f>
        <v>53644</v>
      </c>
      <c r="C66" s="30">
        <f t="shared" si="71"/>
        <v>57854</v>
      </c>
      <c r="D66" s="30">
        <f t="shared" si="71"/>
        <v>49698</v>
      </c>
      <c r="E66" s="30">
        <f t="shared" ref="E66:J66" si="72">E63-(E64+E65)</f>
        <v>74580</v>
      </c>
      <c r="F66" s="67">
        <f t="shared" si="72"/>
        <v>72100</v>
      </c>
      <c r="G66" s="230">
        <f t="shared" ref="G66" si="73">G63-(G64+G65)</f>
        <v>107650</v>
      </c>
      <c r="H66" s="277">
        <f t="shared" si="72"/>
        <v>0</v>
      </c>
      <c r="I66" s="320">
        <f t="shared" ref="I66" si="74">I63-(I64+I65)</f>
        <v>118000</v>
      </c>
      <c r="J66" s="68">
        <f t="shared" si="72"/>
        <v>96778</v>
      </c>
      <c r="K66" s="160">
        <f t="shared" ref="K66" si="75">K63-(K64+K65)</f>
        <v>89082</v>
      </c>
    </row>
    <row r="67" spans="1:11" x14ac:dyDescent="0.35">
      <c r="A67" s="19"/>
      <c r="B67" s="178"/>
      <c r="C67" s="64"/>
      <c r="D67" s="64"/>
      <c r="E67" s="171"/>
      <c r="F67" s="69"/>
      <c r="G67" s="231"/>
      <c r="H67" s="278"/>
      <c r="I67" s="321"/>
      <c r="J67" s="70"/>
      <c r="K67" s="159"/>
    </row>
    <row r="68" spans="1:11" x14ac:dyDescent="0.35">
      <c r="A68" s="3" t="s">
        <v>278</v>
      </c>
      <c r="B68" s="178"/>
      <c r="C68" s="64"/>
      <c r="D68" s="64"/>
      <c r="E68" s="171"/>
      <c r="F68" s="69"/>
      <c r="G68" s="231"/>
      <c r="H68" s="278"/>
      <c r="I68" s="321"/>
      <c r="J68" s="70"/>
      <c r="K68" s="159"/>
    </row>
    <row r="69" spans="1:11" x14ac:dyDescent="0.35">
      <c r="A69" s="23" t="s">
        <v>11</v>
      </c>
      <c r="B69" s="178">
        <v>187780</v>
      </c>
      <c r="C69" s="64">
        <v>199032</v>
      </c>
      <c r="D69" s="64">
        <v>166984</v>
      </c>
      <c r="E69" s="35">
        <v>151278</v>
      </c>
      <c r="F69" s="65">
        <v>147000</v>
      </c>
      <c r="G69" s="229">
        <v>0</v>
      </c>
      <c r="H69" s="276"/>
      <c r="I69" s="319">
        <v>45000</v>
      </c>
      <c r="J69" s="39">
        <v>21874</v>
      </c>
      <c r="K69" s="159">
        <v>136439</v>
      </c>
    </row>
    <row r="70" spans="1:11" x14ac:dyDescent="0.35">
      <c r="A70" s="23" t="s">
        <v>12</v>
      </c>
      <c r="B70" s="178">
        <v>66208</v>
      </c>
      <c r="C70" s="64">
        <v>79626</v>
      </c>
      <c r="D70" s="64">
        <v>76435</v>
      </c>
      <c r="E70" s="35">
        <v>69629</v>
      </c>
      <c r="F70" s="65">
        <v>64650</v>
      </c>
      <c r="G70" s="229">
        <v>0</v>
      </c>
      <c r="H70" s="276"/>
      <c r="I70" s="319">
        <v>10750</v>
      </c>
      <c r="J70" s="39">
        <v>441</v>
      </c>
      <c r="K70" s="159">
        <v>5841</v>
      </c>
    </row>
    <row r="71" spans="1:11" ht="15" thickBot="1" x14ac:dyDescent="0.4">
      <c r="A71" s="19" t="s">
        <v>37</v>
      </c>
      <c r="B71" s="178">
        <v>59858</v>
      </c>
      <c r="C71" s="64">
        <v>43780</v>
      </c>
      <c r="D71" s="64">
        <v>34944</v>
      </c>
      <c r="E71" s="35">
        <v>30067</v>
      </c>
      <c r="F71" s="65">
        <v>28500</v>
      </c>
      <c r="G71" s="229">
        <v>0</v>
      </c>
      <c r="H71" s="276"/>
      <c r="I71" s="319">
        <v>20000</v>
      </c>
      <c r="J71" s="384">
        <v>0</v>
      </c>
      <c r="K71" s="159">
        <v>1820</v>
      </c>
    </row>
    <row r="72" spans="1:11" ht="15" thickBot="1" x14ac:dyDescent="0.4">
      <c r="A72" s="15" t="s">
        <v>41</v>
      </c>
      <c r="B72" s="191">
        <f t="shared" ref="B72:D72" si="76">B69-(B70+B71)</f>
        <v>61714</v>
      </c>
      <c r="C72" s="30">
        <f t="shared" si="76"/>
        <v>75626</v>
      </c>
      <c r="D72" s="30">
        <f t="shared" si="76"/>
        <v>55605</v>
      </c>
      <c r="E72" s="29">
        <f>SUM(E69-E70-E71)</f>
        <v>51582</v>
      </c>
      <c r="F72" s="67">
        <f>F69-(F70+F71)</f>
        <v>53850</v>
      </c>
      <c r="G72" s="230">
        <v>0</v>
      </c>
      <c r="H72" s="277">
        <f>H69-(H70+H71)</f>
        <v>0</v>
      </c>
      <c r="I72" s="320">
        <f>I69-(I70+I71)</f>
        <v>14250</v>
      </c>
      <c r="J72" s="142">
        <f>SUM(J69-J70-J71)</f>
        <v>21433</v>
      </c>
      <c r="K72" s="160">
        <f t="shared" ref="K72" si="77">K69-(K70+K71)</f>
        <v>128778</v>
      </c>
    </row>
    <row r="73" spans="1:11" x14ac:dyDescent="0.35">
      <c r="A73" s="15"/>
      <c r="B73" s="178"/>
      <c r="C73" s="64"/>
      <c r="D73" s="64"/>
      <c r="E73" s="171"/>
      <c r="F73" s="69"/>
      <c r="G73" s="231" t="s">
        <v>229</v>
      </c>
      <c r="H73" s="278"/>
      <c r="I73" s="321" t="s">
        <v>229</v>
      </c>
      <c r="J73" s="70"/>
      <c r="K73" s="159"/>
    </row>
    <row r="74" spans="1:11" x14ac:dyDescent="0.35">
      <c r="A74" s="15"/>
      <c r="B74" s="178"/>
      <c r="C74" s="64"/>
      <c r="D74" s="64"/>
      <c r="E74" s="171"/>
      <c r="F74" s="69"/>
      <c r="G74" s="231"/>
      <c r="H74" s="278"/>
      <c r="I74" s="321"/>
      <c r="J74" s="70"/>
      <c r="K74" s="159"/>
    </row>
    <row r="75" spans="1:11" x14ac:dyDescent="0.35">
      <c r="A75" s="23" t="s">
        <v>42</v>
      </c>
      <c r="B75" s="178">
        <v>17880</v>
      </c>
      <c r="C75" s="64">
        <v>14015</v>
      </c>
      <c r="D75" s="64">
        <v>22546</v>
      </c>
      <c r="E75" s="64">
        <v>35405</v>
      </c>
      <c r="F75" s="65">
        <v>28000</v>
      </c>
      <c r="G75" s="229"/>
      <c r="H75" s="276"/>
      <c r="I75" s="319">
        <v>4500</v>
      </c>
      <c r="J75" s="66">
        <v>4933</v>
      </c>
      <c r="K75" s="159">
        <v>30349</v>
      </c>
    </row>
    <row r="76" spans="1:11" ht="15" thickBot="1" x14ac:dyDescent="0.4">
      <c r="A76" s="23" t="s">
        <v>43</v>
      </c>
      <c r="B76" s="178">
        <v>6433</v>
      </c>
      <c r="C76" s="64">
        <v>3904</v>
      </c>
      <c r="D76" s="64">
        <v>7191</v>
      </c>
      <c r="E76" s="64">
        <v>9722</v>
      </c>
      <c r="F76" s="65">
        <v>11000</v>
      </c>
      <c r="G76" s="229"/>
      <c r="H76" s="276"/>
      <c r="I76" s="319">
        <v>1514</v>
      </c>
      <c r="J76" s="66">
        <v>1452</v>
      </c>
      <c r="K76" s="159">
        <v>7809</v>
      </c>
    </row>
    <row r="77" spans="1:11" ht="15" thickBot="1" x14ac:dyDescent="0.4">
      <c r="A77" s="15" t="s">
        <v>44</v>
      </c>
      <c r="B77" s="191">
        <f t="shared" ref="B77:C77" si="78">SUM(B75-B76)</f>
        <v>11447</v>
      </c>
      <c r="C77" s="30">
        <f t="shared" si="78"/>
        <v>10111</v>
      </c>
      <c r="D77" s="30">
        <f t="shared" ref="D77" si="79">SUM(D75-D76)</f>
        <v>15355</v>
      </c>
      <c r="E77" s="30">
        <f t="shared" ref="E77:J77" si="80">SUM(E75-E76)</f>
        <v>25683</v>
      </c>
      <c r="F77" s="67">
        <f t="shared" si="80"/>
        <v>17000</v>
      </c>
      <c r="G77" s="230">
        <f t="shared" ref="G77" si="81">SUM(G75-G76)</f>
        <v>0</v>
      </c>
      <c r="H77" s="277">
        <f t="shared" si="80"/>
        <v>0</v>
      </c>
      <c r="I77" s="320">
        <f t="shared" ref="I77" si="82">SUM(I75-I76)</f>
        <v>2986</v>
      </c>
      <c r="J77" s="68">
        <f t="shared" si="80"/>
        <v>3481</v>
      </c>
      <c r="K77" s="160">
        <f t="shared" ref="K77" si="83">SUM(K75-K76)</f>
        <v>22540</v>
      </c>
    </row>
    <row r="78" spans="1:11" x14ac:dyDescent="0.35">
      <c r="A78" s="15"/>
      <c r="B78" s="192"/>
      <c r="C78" s="72"/>
      <c r="D78" s="72"/>
      <c r="E78" s="72"/>
      <c r="F78" s="73"/>
      <c r="G78" s="232"/>
      <c r="H78" s="279"/>
      <c r="I78" s="322"/>
      <c r="J78" s="74"/>
      <c r="K78" s="161"/>
    </row>
    <row r="79" spans="1:11" x14ac:dyDescent="0.35">
      <c r="A79" s="19" t="s">
        <v>45</v>
      </c>
      <c r="B79" s="178">
        <v>7236</v>
      </c>
      <c r="C79" s="64">
        <v>6312</v>
      </c>
      <c r="D79" s="64">
        <v>11008</v>
      </c>
      <c r="E79" s="64">
        <v>9268</v>
      </c>
      <c r="F79" s="65">
        <v>7000</v>
      </c>
      <c r="G79" s="229"/>
      <c r="H79" s="276"/>
      <c r="I79" s="319">
        <v>5</v>
      </c>
      <c r="J79" s="66">
        <v>5</v>
      </c>
      <c r="K79" s="159">
        <v>8101</v>
      </c>
    </row>
    <row r="80" spans="1:11" ht="15" thickBot="1" x14ac:dyDescent="0.4">
      <c r="A80" s="19" t="s">
        <v>46</v>
      </c>
      <c r="B80" s="178">
        <v>835</v>
      </c>
      <c r="C80" s="64">
        <v>4048</v>
      </c>
      <c r="D80" s="64">
        <v>3720</v>
      </c>
      <c r="E80" s="64">
        <v>3504</v>
      </c>
      <c r="F80" s="65">
        <v>3000</v>
      </c>
      <c r="G80" s="229"/>
      <c r="H80" s="276"/>
      <c r="I80" s="319">
        <v>567</v>
      </c>
      <c r="J80" s="66">
        <v>567</v>
      </c>
      <c r="K80" s="159">
        <v>2446</v>
      </c>
    </row>
    <row r="81" spans="1:11" ht="15" thickBot="1" x14ac:dyDescent="0.4">
      <c r="A81" s="3" t="s">
        <v>47</v>
      </c>
      <c r="B81" s="191">
        <f t="shared" ref="B81:D81" si="84">SUM(B79-B80)</f>
        <v>6401</v>
      </c>
      <c r="C81" s="30">
        <f t="shared" si="84"/>
        <v>2264</v>
      </c>
      <c r="D81" s="30">
        <f t="shared" si="84"/>
        <v>7288</v>
      </c>
      <c r="E81" s="30">
        <f t="shared" ref="E81:J81" si="85">SUM(E79-E80)</f>
        <v>5764</v>
      </c>
      <c r="F81" s="67">
        <f t="shared" si="85"/>
        <v>4000</v>
      </c>
      <c r="G81" s="230">
        <f t="shared" ref="G81" si="86">SUM(G79-G80)</f>
        <v>0</v>
      </c>
      <c r="H81" s="277">
        <f t="shared" si="85"/>
        <v>0</v>
      </c>
      <c r="I81" s="320">
        <f t="shared" ref="I81" si="87">SUM(I79-I80)</f>
        <v>-562</v>
      </c>
      <c r="J81" s="68">
        <f t="shared" si="85"/>
        <v>-562</v>
      </c>
      <c r="K81" s="160">
        <f t="shared" ref="K81" si="88">SUM(K79-K80)</f>
        <v>5655</v>
      </c>
    </row>
    <row r="82" spans="1:11" x14ac:dyDescent="0.35">
      <c r="A82" s="15"/>
      <c r="B82" s="192"/>
      <c r="C82" s="72"/>
      <c r="D82" s="72"/>
      <c r="E82" s="72"/>
      <c r="F82" s="73"/>
      <c r="G82" s="232"/>
      <c r="H82" s="279"/>
      <c r="I82" s="322"/>
      <c r="J82" s="74"/>
      <c r="K82" s="161"/>
    </row>
    <row r="83" spans="1:11" x14ac:dyDescent="0.35">
      <c r="A83" s="19" t="s">
        <v>221</v>
      </c>
      <c r="B83" s="178">
        <v>13676</v>
      </c>
      <c r="C83" s="64">
        <v>12685</v>
      </c>
      <c r="D83" s="64">
        <v>18562</v>
      </c>
      <c r="E83" s="64">
        <v>19209</v>
      </c>
      <c r="F83" s="65">
        <v>16000</v>
      </c>
      <c r="G83" s="229">
        <v>0</v>
      </c>
      <c r="H83" s="276">
        <v>0</v>
      </c>
      <c r="I83" s="387">
        <v>378</v>
      </c>
      <c r="J83" s="66">
        <v>378</v>
      </c>
      <c r="K83" s="159">
        <v>15775</v>
      </c>
    </row>
    <row r="84" spans="1:11" ht="15" thickBot="1" x14ac:dyDescent="0.4">
      <c r="A84" s="19" t="s">
        <v>222</v>
      </c>
      <c r="B84" s="178">
        <v>10400</v>
      </c>
      <c r="C84" s="64">
        <v>13587</v>
      </c>
      <c r="D84" s="64">
        <v>14846</v>
      </c>
      <c r="E84" s="64">
        <v>16620</v>
      </c>
      <c r="F84" s="65">
        <v>14000</v>
      </c>
      <c r="G84" s="229">
        <v>0</v>
      </c>
      <c r="H84" s="276">
        <v>0</v>
      </c>
      <c r="I84" s="387">
        <v>1319</v>
      </c>
      <c r="J84" s="66">
        <v>1319</v>
      </c>
      <c r="K84" s="159">
        <v>13156</v>
      </c>
    </row>
    <row r="85" spans="1:11" ht="15" thickBot="1" x14ac:dyDescent="0.4">
      <c r="A85" s="3" t="s">
        <v>48</v>
      </c>
      <c r="B85" s="191">
        <f t="shared" ref="B85:D85" si="89">SUM(B83-B84)</f>
        <v>3276</v>
      </c>
      <c r="C85" s="30">
        <f t="shared" si="89"/>
        <v>-902</v>
      </c>
      <c r="D85" s="30">
        <f t="shared" si="89"/>
        <v>3716</v>
      </c>
      <c r="E85" s="30">
        <f>SUM(E83-E84)</f>
        <v>2589</v>
      </c>
      <c r="F85" s="67">
        <f>SUM(F83-F84)</f>
        <v>2000</v>
      </c>
      <c r="G85" s="230">
        <v>0</v>
      </c>
      <c r="H85" s="277">
        <v>0</v>
      </c>
      <c r="I85" s="388">
        <f>SUM(I83-I84)</f>
        <v>-941</v>
      </c>
      <c r="J85" s="68">
        <f>SUM(J83-J84)</f>
        <v>-941</v>
      </c>
      <c r="K85" s="160">
        <f t="shared" ref="K85" si="90">SUM(K83-K84)</f>
        <v>2619</v>
      </c>
    </row>
    <row r="86" spans="1:11" x14ac:dyDescent="0.35">
      <c r="A86" s="3"/>
      <c r="B86" s="192"/>
      <c r="C86" s="72"/>
      <c r="D86" s="72"/>
      <c r="E86" s="172"/>
      <c r="F86" s="75"/>
      <c r="G86" s="233"/>
      <c r="H86" s="280"/>
      <c r="I86" s="323"/>
      <c r="J86" s="76"/>
      <c r="K86" s="161"/>
    </row>
    <row r="87" spans="1:11" x14ac:dyDescent="0.35">
      <c r="A87" s="3"/>
      <c r="B87" s="192"/>
      <c r="C87" s="72"/>
      <c r="D87" s="72"/>
      <c r="E87" s="172"/>
      <c r="F87" s="75"/>
      <c r="G87" s="233"/>
      <c r="H87" s="280"/>
      <c r="I87" s="323"/>
      <c r="J87" s="76"/>
      <c r="K87" s="161"/>
    </row>
    <row r="88" spans="1:11" x14ac:dyDescent="0.35">
      <c r="A88" s="19" t="s">
        <v>49</v>
      </c>
      <c r="B88" s="178">
        <v>5165</v>
      </c>
      <c r="C88" s="64">
        <v>9720</v>
      </c>
      <c r="D88" s="64">
        <v>30120</v>
      </c>
      <c r="E88" s="64">
        <v>4355</v>
      </c>
      <c r="F88" s="65">
        <v>3000</v>
      </c>
      <c r="G88" s="229">
        <v>0</v>
      </c>
      <c r="H88" s="276">
        <v>0</v>
      </c>
      <c r="I88" s="319">
        <v>0</v>
      </c>
      <c r="J88" s="66">
        <v>0</v>
      </c>
      <c r="K88" s="159">
        <v>3995</v>
      </c>
    </row>
    <row r="89" spans="1:11" ht="15" thickBot="1" x14ac:dyDescent="0.4">
      <c r="A89" s="19" t="s">
        <v>50</v>
      </c>
      <c r="B89" s="178">
        <v>1167</v>
      </c>
      <c r="C89" s="64">
        <v>10273</v>
      </c>
      <c r="D89" s="64">
        <v>18869</v>
      </c>
      <c r="E89" s="64">
        <v>4170</v>
      </c>
      <c r="F89" s="65">
        <v>500</v>
      </c>
      <c r="G89" s="229">
        <v>0</v>
      </c>
      <c r="H89" s="276">
        <v>0</v>
      </c>
      <c r="I89" s="319">
        <v>0</v>
      </c>
      <c r="J89" s="66">
        <v>0</v>
      </c>
      <c r="K89" s="159">
        <v>3446</v>
      </c>
    </row>
    <row r="90" spans="1:11" ht="15" thickBot="1" x14ac:dyDescent="0.4">
      <c r="A90" s="3" t="s">
        <v>51</v>
      </c>
      <c r="B90" s="191">
        <f t="shared" ref="B90:D90" si="91">SUM(B88-B89)</f>
        <v>3998</v>
      </c>
      <c r="C90" s="30">
        <f t="shared" si="91"/>
        <v>-553</v>
      </c>
      <c r="D90" s="30">
        <f t="shared" si="91"/>
        <v>11251</v>
      </c>
      <c r="E90" s="30">
        <f>SUM(E88-E89)</f>
        <v>185</v>
      </c>
      <c r="F90" s="67">
        <f>SUM(F88-F89)</f>
        <v>2500</v>
      </c>
      <c r="G90" s="230">
        <v>0</v>
      </c>
      <c r="H90" s="277">
        <v>0</v>
      </c>
      <c r="I90" s="320">
        <v>0</v>
      </c>
      <c r="J90" s="68">
        <v>0</v>
      </c>
      <c r="K90" s="160">
        <f t="shared" ref="K90" si="92">SUM(K88-K89)</f>
        <v>549</v>
      </c>
    </row>
    <row r="91" spans="1:11" x14ac:dyDescent="0.35">
      <c r="A91" s="3"/>
      <c r="B91" s="192"/>
      <c r="C91" s="72"/>
      <c r="D91" s="72"/>
      <c r="E91" s="172"/>
      <c r="F91" s="75"/>
      <c r="G91" s="233"/>
      <c r="H91" s="280"/>
      <c r="I91" s="323"/>
      <c r="J91" s="76"/>
      <c r="K91" s="161"/>
    </row>
    <row r="92" spans="1:11" x14ac:dyDescent="0.35">
      <c r="A92" s="19"/>
      <c r="B92" s="178"/>
      <c r="C92" s="64"/>
      <c r="D92" s="64"/>
      <c r="E92" s="171"/>
      <c r="F92" s="69"/>
      <c r="G92" s="231"/>
      <c r="H92" s="278"/>
      <c r="I92" s="321"/>
      <c r="J92" s="70"/>
      <c r="K92" s="159"/>
    </row>
    <row r="93" spans="1:11" x14ac:dyDescent="0.35">
      <c r="A93" s="19" t="s">
        <v>52</v>
      </c>
      <c r="B93" s="178">
        <v>74932</v>
      </c>
      <c r="C93" s="64">
        <v>76954</v>
      </c>
      <c r="D93" s="64">
        <v>80635</v>
      </c>
      <c r="E93" s="64">
        <v>83058</v>
      </c>
      <c r="F93" s="65">
        <v>80000</v>
      </c>
      <c r="G93" s="229">
        <v>0</v>
      </c>
      <c r="H93" s="276">
        <v>0</v>
      </c>
      <c r="I93" s="319">
        <v>0</v>
      </c>
      <c r="J93" s="66">
        <v>-1170</v>
      </c>
      <c r="K93" s="159">
        <v>79860</v>
      </c>
    </row>
    <row r="94" spans="1:11" ht="15" thickBot="1" x14ac:dyDescent="0.4">
      <c r="A94" s="19" t="s">
        <v>53</v>
      </c>
      <c r="B94" s="178">
        <v>26620</v>
      </c>
      <c r="C94" s="64">
        <v>29898</v>
      </c>
      <c r="D94" s="64">
        <v>35418</v>
      </c>
      <c r="E94" s="64">
        <v>37179</v>
      </c>
      <c r="F94" s="65">
        <v>40000</v>
      </c>
      <c r="G94" s="229">
        <v>0</v>
      </c>
      <c r="H94" s="276">
        <v>0</v>
      </c>
      <c r="I94" s="319">
        <v>0</v>
      </c>
      <c r="J94" s="66">
        <v>0</v>
      </c>
      <c r="K94" s="159">
        <v>20966</v>
      </c>
    </row>
    <row r="95" spans="1:11" ht="15" thickBot="1" x14ac:dyDescent="0.4">
      <c r="A95" s="3" t="s">
        <v>54</v>
      </c>
      <c r="B95" s="191">
        <f t="shared" ref="B95:D95" si="93">SUM(B93-B94)</f>
        <v>48312</v>
      </c>
      <c r="C95" s="30">
        <f t="shared" si="93"/>
        <v>47056</v>
      </c>
      <c r="D95" s="30">
        <f t="shared" si="93"/>
        <v>45217</v>
      </c>
      <c r="E95" s="30">
        <f>SUM(E93-E94)</f>
        <v>45879</v>
      </c>
      <c r="F95" s="67">
        <f>SUM(F93-F94)</f>
        <v>40000</v>
      </c>
      <c r="G95" s="230">
        <v>0</v>
      </c>
      <c r="H95" s="277">
        <v>0</v>
      </c>
      <c r="I95" s="320">
        <v>0</v>
      </c>
      <c r="J95" s="68">
        <f>SUM(J93-J94)</f>
        <v>-1170</v>
      </c>
      <c r="K95" s="160">
        <f t="shared" ref="K95" si="94">SUM(K93-K94)</f>
        <v>58894</v>
      </c>
    </row>
    <row r="96" spans="1:11" x14ac:dyDescent="0.35">
      <c r="A96" s="3"/>
      <c r="B96" s="192"/>
      <c r="C96" s="72"/>
      <c r="D96" s="72"/>
      <c r="E96" s="172"/>
      <c r="F96" s="75"/>
      <c r="G96" s="233"/>
      <c r="H96" s="280"/>
      <c r="I96" s="323"/>
      <c r="J96" s="76"/>
      <c r="K96" s="161"/>
    </row>
    <row r="97" spans="1:13" x14ac:dyDescent="0.35">
      <c r="A97" s="15" t="s">
        <v>55</v>
      </c>
      <c r="B97" s="178"/>
      <c r="C97" s="64"/>
      <c r="D97" s="64"/>
      <c r="E97" s="171"/>
      <c r="F97" s="69"/>
      <c r="G97" s="231"/>
      <c r="H97" s="278"/>
      <c r="I97" s="321"/>
      <c r="J97" s="70"/>
      <c r="K97" s="159"/>
    </row>
    <row r="98" spans="1:13" x14ac:dyDescent="0.35">
      <c r="A98" s="23" t="s">
        <v>56</v>
      </c>
      <c r="B98" s="193">
        <f t="shared" ref="B98:D98" si="95">SUM(B57,B63,B69,B75,B93,B83,B88,B79)</f>
        <v>665547</v>
      </c>
      <c r="C98" s="24">
        <f t="shared" si="95"/>
        <v>675751</v>
      </c>
      <c r="D98" s="24">
        <f t="shared" si="95"/>
        <v>644505</v>
      </c>
      <c r="E98" s="24">
        <f t="shared" ref="E98:J98" si="96">SUM(E57,E63,E69,E75,E93,E83,E88,E79)</f>
        <v>653735</v>
      </c>
      <c r="F98" s="77">
        <f t="shared" si="96"/>
        <v>623000</v>
      </c>
      <c r="G98" s="234">
        <f t="shared" ref="G98" si="97">SUM(G57,G63,G69,G75,G93,G83,G88,G79)</f>
        <v>195527</v>
      </c>
      <c r="H98" s="281">
        <f t="shared" si="96"/>
        <v>16502</v>
      </c>
      <c r="I98" s="324">
        <f t="shared" ref="I98" si="98">SUM(I57,I63,I69,I75,I93,I83,I88,I79)</f>
        <v>268392</v>
      </c>
      <c r="J98" s="78">
        <f t="shared" si="96"/>
        <v>232774</v>
      </c>
      <c r="K98" s="162">
        <f t="shared" ref="K98" si="99">SUM(K57,K63,K69,K75,K93,K83,K88,K79)</f>
        <v>625441</v>
      </c>
    </row>
    <row r="99" spans="1:13" ht="15" thickBot="1" x14ac:dyDescent="0.4">
      <c r="A99" s="23" t="s">
        <v>57</v>
      </c>
      <c r="B99" s="193">
        <f t="shared" ref="B99:D99" si="100">SUM(B58+B59+B64+B65+B70+B71+B76,B94,B84,B89,B80)</f>
        <v>433829</v>
      </c>
      <c r="C99" s="24">
        <f t="shared" si="100"/>
        <v>421406</v>
      </c>
      <c r="D99" s="24">
        <f t="shared" si="100"/>
        <v>402325</v>
      </c>
      <c r="E99" s="24">
        <f>SUM(E58,E59,E64,E65,E70,E71,E76,E94,E84,E89,E80)</f>
        <v>391586</v>
      </c>
      <c r="F99" s="77">
        <f>SUM(F58+F59+F64+F65+F70+F71+F76,F94,F84,F89,F80)</f>
        <v>370550</v>
      </c>
      <c r="G99" s="234">
        <f>SUM(G58+G59+G64+G65+G70+G71+G76,G94,G84,G89,G80)</f>
        <v>99734</v>
      </c>
      <c r="H99" s="281">
        <f>SUM(H58+H59+H64+H65+H70+H71+H76,H94,H84,H89,H80)</f>
        <v>28359</v>
      </c>
      <c r="I99" s="324">
        <f>SUM(I58+I59+I64+I65+I70+I71+I76,I94,I84,I89,I80)</f>
        <v>149047</v>
      </c>
      <c r="J99" s="78">
        <f>SUM(J58,J59,J64,J65,J70,J71,J76,J94,J84,J89,J80)</f>
        <v>126661</v>
      </c>
      <c r="K99" s="162">
        <f t="shared" ref="K99" si="101">SUM(K58+K59+K64+K65+K70+K71+K76,K94,K84,K89,K80)</f>
        <v>259627</v>
      </c>
    </row>
    <row r="100" spans="1:13" x14ac:dyDescent="0.35">
      <c r="A100" s="15" t="s">
        <v>58</v>
      </c>
      <c r="B100" s="194">
        <f t="shared" ref="B100:D100" si="102">B98-B99</f>
        <v>231718</v>
      </c>
      <c r="C100" s="79">
        <f t="shared" si="102"/>
        <v>254345</v>
      </c>
      <c r="D100" s="79">
        <f t="shared" si="102"/>
        <v>242180</v>
      </c>
      <c r="E100" s="79">
        <f t="shared" ref="E100:J100" si="103">E98-E99</f>
        <v>262149</v>
      </c>
      <c r="F100" s="80">
        <f t="shared" si="103"/>
        <v>252450</v>
      </c>
      <c r="G100" s="235">
        <f t="shared" ref="G100" si="104">G98-G99</f>
        <v>95793</v>
      </c>
      <c r="H100" s="282">
        <f t="shared" si="103"/>
        <v>-11857</v>
      </c>
      <c r="I100" s="325">
        <f t="shared" ref="I100" si="105">I98-I99</f>
        <v>119345</v>
      </c>
      <c r="J100" s="81">
        <f t="shared" si="103"/>
        <v>106113</v>
      </c>
      <c r="K100" s="163">
        <f t="shared" ref="K100" si="106">K98-K99</f>
        <v>365814</v>
      </c>
    </row>
    <row r="101" spans="1:13" ht="15" thickBot="1" x14ac:dyDescent="0.4">
      <c r="A101" s="57"/>
      <c r="B101" s="195"/>
      <c r="C101" s="35"/>
      <c r="D101" s="35"/>
      <c r="E101" s="35"/>
      <c r="F101" s="35"/>
      <c r="G101" s="229"/>
      <c r="H101" s="276"/>
      <c r="I101" s="374"/>
      <c r="J101" s="35"/>
      <c r="K101" s="35"/>
    </row>
    <row r="102" spans="1:13" x14ac:dyDescent="0.35">
      <c r="A102" s="19"/>
      <c r="B102" s="4"/>
      <c r="C102" s="5"/>
      <c r="D102" s="5"/>
      <c r="E102" s="169"/>
      <c r="F102" s="6" t="s">
        <v>216</v>
      </c>
      <c r="G102" s="211" t="s">
        <v>238</v>
      </c>
      <c r="H102" s="258" t="s">
        <v>239</v>
      </c>
      <c r="I102" s="303" t="s">
        <v>271</v>
      </c>
      <c r="J102" s="151" t="s">
        <v>281</v>
      </c>
      <c r="K102" s="126" t="s">
        <v>218</v>
      </c>
    </row>
    <row r="103" spans="1:13" x14ac:dyDescent="0.35">
      <c r="A103" s="19"/>
      <c r="B103" s="7" t="s">
        <v>2</v>
      </c>
      <c r="C103" s="8" t="s">
        <v>1</v>
      </c>
      <c r="D103" s="8" t="s">
        <v>1</v>
      </c>
      <c r="E103" s="7" t="s">
        <v>1</v>
      </c>
      <c r="F103" s="9" t="s">
        <v>3</v>
      </c>
      <c r="G103" s="212" t="s">
        <v>235</v>
      </c>
      <c r="H103" s="259" t="s">
        <v>5</v>
      </c>
      <c r="I103" s="304" t="s">
        <v>5</v>
      </c>
      <c r="J103" s="10" t="s">
        <v>4</v>
      </c>
      <c r="K103" s="127" t="s">
        <v>217</v>
      </c>
    </row>
    <row r="104" spans="1:13" ht="15" thickBot="1" x14ac:dyDescent="0.4">
      <c r="A104" s="19"/>
      <c r="B104" s="12" t="s">
        <v>6</v>
      </c>
      <c r="C104" s="12" t="s">
        <v>7</v>
      </c>
      <c r="D104" s="12" t="s">
        <v>8</v>
      </c>
      <c r="E104" s="12" t="s">
        <v>9</v>
      </c>
      <c r="F104" s="13" t="s">
        <v>230</v>
      </c>
      <c r="G104" s="213" t="s">
        <v>240</v>
      </c>
      <c r="H104" s="260" t="s">
        <v>236</v>
      </c>
      <c r="I104" s="305" t="s">
        <v>289</v>
      </c>
      <c r="J104" s="14" t="s">
        <v>231</v>
      </c>
      <c r="K104" s="128" t="s">
        <v>9</v>
      </c>
    </row>
    <row r="105" spans="1:13" x14ac:dyDescent="0.35">
      <c r="A105" s="15" t="s">
        <v>59</v>
      </c>
      <c r="B105" s="178"/>
      <c r="C105" s="64"/>
      <c r="D105" s="64"/>
      <c r="E105" s="64"/>
      <c r="F105" s="65"/>
      <c r="G105" s="214"/>
      <c r="H105" s="261" t="s">
        <v>237</v>
      </c>
      <c r="I105" s="306"/>
      <c r="J105" s="66"/>
      <c r="K105" s="159"/>
    </row>
    <row r="106" spans="1:13" x14ac:dyDescent="0.35">
      <c r="A106" s="3" t="s">
        <v>60</v>
      </c>
      <c r="B106" s="178"/>
      <c r="C106" s="64" t="s">
        <v>61</v>
      </c>
      <c r="D106" s="64" t="s">
        <v>61</v>
      </c>
      <c r="E106" s="64"/>
      <c r="F106" s="65"/>
      <c r="G106" s="229"/>
      <c r="H106" s="276"/>
      <c r="I106" s="319"/>
      <c r="J106" s="66"/>
      <c r="K106" s="159"/>
    </row>
    <row r="107" spans="1:13" x14ac:dyDescent="0.35">
      <c r="A107" s="23" t="s">
        <v>62</v>
      </c>
      <c r="B107" s="178">
        <v>63492</v>
      </c>
      <c r="C107" s="64">
        <v>53139</v>
      </c>
      <c r="D107" s="64">
        <v>49315</v>
      </c>
      <c r="E107" s="64">
        <v>68564</v>
      </c>
      <c r="F107" s="65">
        <v>47500</v>
      </c>
      <c r="G107" s="229">
        <v>22863</v>
      </c>
      <c r="H107" s="276">
        <v>22863</v>
      </c>
      <c r="I107" s="319">
        <v>13303</v>
      </c>
      <c r="J107" s="66">
        <v>13303</v>
      </c>
      <c r="K107" s="159">
        <v>68564</v>
      </c>
      <c r="M107" s="145"/>
    </row>
    <row r="108" spans="1:13" x14ac:dyDescent="0.35">
      <c r="A108" s="23" t="s">
        <v>63</v>
      </c>
      <c r="B108" s="178"/>
      <c r="C108" s="64"/>
      <c r="D108" s="64"/>
      <c r="E108" s="64"/>
      <c r="F108" s="65">
        <v>0</v>
      </c>
      <c r="G108" s="229"/>
      <c r="H108" s="276"/>
      <c r="I108" s="319"/>
      <c r="J108" s="66"/>
      <c r="K108" s="159"/>
      <c r="M108" s="145"/>
    </row>
    <row r="109" spans="1:13" ht="15" thickBot="1" x14ac:dyDescent="0.4">
      <c r="A109" s="23" t="s">
        <v>15</v>
      </c>
      <c r="B109" s="178">
        <v>29497</v>
      </c>
      <c r="C109" s="64">
        <v>30527</v>
      </c>
      <c r="D109" s="64">
        <v>34603</v>
      </c>
      <c r="E109" s="64">
        <v>39396</v>
      </c>
      <c r="F109" s="65">
        <v>28340</v>
      </c>
      <c r="G109" s="229">
        <v>19025</v>
      </c>
      <c r="H109" s="276">
        <v>19025</v>
      </c>
      <c r="I109" s="319">
        <v>20342</v>
      </c>
      <c r="J109" s="66">
        <v>20342</v>
      </c>
      <c r="K109" s="159">
        <v>39344</v>
      </c>
      <c r="M109" s="146"/>
    </row>
    <row r="110" spans="1:13" ht="15" thickBot="1" x14ac:dyDescent="0.4">
      <c r="A110" s="15" t="s">
        <v>64</v>
      </c>
      <c r="B110" s="191">
        <f t="shared" ref="B110:D110" si="107">SUM(B107-B109)</f>
        <v>33995</v>
      </c>
      <c r="C110" s="30">
        <f t="shared" si="107"/>
        <v>22612</v>
      </c>
      <c r="D110" s="30">
        <f t="shared" si="107"/>
        <v>14712</v>
      </c>
      <c r="E110" s="30">
        <f t="shared" ref="E110:J110" si="108">SUM(E107-E108-E109)</f>
        <v>29168</v>
      </c>
      <c r="F110" s="67">
        <f t="shared" si="108"/>
        <v>19160</v>
      </c>
      <c r="G110" s="235">
        <f t="shared" ref="G110" si="109">SUM(G107-G108-G109)</f>
        <v>3838</v>
      </c>
      <c r="H110" s="282">
        <f t="shared" si="108"/>
        <v>3838</v>
      </c>
      <c r="I110" s="325">
        <f t="shared" ref="I110" si="110">SUM(I107-I108-I109)</f>
        <v>-7039</v>
      </c>
      <c r="J110" s="68">
        <f t="shared" si="108"/>
        <v>-7039</v>
      </c>
      <c r="K110" s="160">
        <f t="shared" ref="K110" si="111">SUM(K107-K109)</f>
        <v>29220</v>
      </c>
      <c r="M110" s="145"/>
    </row>
    <row r="111" spans="1:13" x14ac:dyDescent="0.35">
      <c r="A111" s="19"/>
      <c r="B111" s="178"/>
      <c r="C111" s="64"/>
      <c r="D111" s="64"/>
      <c r="E111" s="64"/>
      <c r="F111" s="206"/>
      <c r="G111" s="225"/>
      <c r="H111" s="272"/>
      <c r="I111" s="317"/>
      <c r="J111" s="66"/>
      <c r="K111" s="159"/>
      <c r="M111" s="146"/>
    </row>
    <row r="112" spans="1:13" x14ac:dyDescent="0.35">
      <c r="A112" s="3" t="s">
        <v>65</v>
      </c>
      <c r="B112" s="178"/>
      <c r="C112" s="64"/>
      <c r="D112" s="64"/>
      <c r="E112" s="64"/>
      <c r="F112" s="206"/>
      <c r="G112" s="218"/>
      <c r="H112" s="265"/>
      <c r="I112" s="310"/>
      <c r="J112" s="66"/>
      <c r="K112" s="159"/>
      <c r="M112" s="145"/>
    </row>
    <row r="113" spans="1:13" x14ac:dyDescent="0.35">
      <c r="A113" s="23" t="s">
        <v>66</v>
      </c>
      <c r="B113" s="178"/>
      <c r="C113" s="64">
        <v>0</v>
      </c>
      <c r="D113" s="64">
        <v>30683</v>
      </c>
      <c r="E113" s="64">
        <v>31809</v>
      </c>
      <c r="F113" s="206">
        <v>38705</v>
      </c>
      <c r="G113" s="218"/>
      <c r="H113" s="265"/>
      <c r="I113" s="310">
        <v>14398</v>
      </c>
      <c r="J113" s="66">
        <v>14958</v>
      </c>
      <c r="K113" s="159">
        <v>31809</v>
      </c>
      <c r="M113" s="145"/>
    </row>
    <row r="114" spans="1:13" x14ac:dyDescent="0.35">
      <c r="A114" s="23" t="s">
        <v>63</v>
      </c>
      <c r="B114" s="178"/>
      <c r="C114" s="64"/>
      <c r="D114" s="64">
        <v>0</v>
      </c>
      <c r="E114" s="64"/>
      <c r="F114" s="206"/>
      <c r="G114" s="218"/>
      <c r="H114" s="265"/>
      <c r="I114" s="310"/>
      <c r="J114" s="66"/>
      <c r="K114" s="159">
        <v>0</v>
      </c>
      <c r="M114" s="146"/>
    </row>
    <row r="115" spans="1:13" ht="15" thickBot="1" x14ac:dyDescent="0.4">
      <c r="A115" s="23" t="s">
        <v>15</v>
      </c>
      <c r="B115" s="178"/>
      <c r="C115" s="64">
        <v>0</v>
      </c>
      <c r="D115" s="64">
        <v>13030</v>
      </c>
      <c r="E115" s="64">
        <v>27736</v>
      </c>
      <c r="F115" s="206">
        <v>22143</v>
      </c>
      <c r="G115" s="226"/>
      <c r="H115" s="273"/>
      <c r="I115" s="318">
        <v>9240</v>
      </c>
      <c r="J115" s="66">
        <v>9240</v>
      </c>
      <c r="K115" s="159">
        <v>27736</v>
      </c>
      <c r="M115" s="145"/>
    </row>
    <row r="116" spans="1:13" ht="15" thickBot="1" x14ac:dyDescent="0.4">
      <c r="A116" s="15" t="s">
        <v>67</v>
      </c>
      <c r="B116" s="191">
        <f t="shared" ref="B116:D116" si="112">SUM(B113-B115)</f>
        <v>0</v>
      </c>
      <c r="C116" s="29">
        <f t="shared" si="112"/>
        <v>0</v>
      </c>
      <c r="D116" s="29">
        <f t="shared" si="112"/>
        <v>17653</v>
      </c>
      <c r="E116" s="30">
        <f>SUM(E113-E114-E115)</f>
        <v>4073</v>
      </c>
      <c r="F116" s="67">
        <f>SUM(F113-F114-F115)</f>
        <v>16562</v>
      </c>
      <c r="G116" s="236">
        <f>SUM(G113-G115)</f>
        <v>0</v>
      </c>
      <c r="H116" s="283">
        <f>SUM(H113-H115)</f>
        <v>0</v>
      </c>
      <c r="I116" s="326">
        <f>SUM(I113-I115)</f>
        <v>5158</v>
      </c>
      <c r="J116" s="68">
        <f>SUM(J113-J114-J115)</f>
        <v>5718</v>
      </c>
      <c r="K116" s="139">
        <f t="shared" ref="K116" si="113">SUM(K113-K115)</f>
        <v>4073</v>
      </c>
      <c r="M116" s="146"/>
    </row>
    <row r="117" spans="1:13" x14ac:dyDescent="0.35">
      <c r="A117" s="15"/>
      <c r="B117" s="196"/>
      <c r="C117" s="82" t="s">
        <v>68</v>
      </c>
      <c r="D117" s="82" t="s">
        <v>68</v>
      </c>
      <c r="E117" s="173"/>
      <c r="F117" s="83"/>
      <c r="G117" s="237"/>
      <c r="H117" s="284"/>
      <c r="I117" s="327"/>
      <c r="J117" s="84"/>
      <c r="K117" s="152"/>
      <c r="M117" s="145"/>
    </row>
    <row r="118" spans="1:13" x14ac:dyDescent="0.35">
      <c r="A118" s="19"/>
      <c r="B118" s="195"/>
      <c r="C118" s="36"/>
      <c r="D118" s="36"/>
      <c r="E118" s="171"/>
      <c r="F118" s="69"/>
      <c r="G118" s="231"/>
      <c r="H118" s="278"/>
      <c r="I118" s="321"/>
      <c r="J118" s="70"/>
      <c r="K118" s="153"/>
      <c r="M118" s="145"/>
    </row>
    <row r="119" spans="1:13" x14ac:dyDescent="0.35">
      <c r="A119" s="3" t="s">
        <v>69</v>
      </c>
      <c r="B119" s="195"/>
      <c r="C119" s="86"/>
      <c r="D119" s="86"/>
      <c r="E119" s="171"/>
      <c r="F119" s="69"/>
      <c r="G119" s="231"/>
      <c r="H119" s="278"/>
      <c r="I119" s="321"/>
      <c r="J119" s="70"/>
      <c r="K119" s="164"/>
      <c r="M119" s="146"/>
    </row>
    <row r="120" spans="1:13" x14ac:dyDescent="0.35">
      <c r="A120" s="23" t="s">
        <v>66</v>
      </c>
      <c r="B120" s="195">
        <v>84479</v>
      </c>
      <c r="C120" s="36">
        <v>82261</v>
      </c>
      <c r="D120" s="36">
        <v>33012</v>
      </c>
      <c r="E120" s="64">
        <v>57547</v>
      </c>
      <c r="F120" s="65">
        <v>47205</v>
      </c>
      <c r="G120" s="229">
        <v>8000</v>
      </c>
      <c r="H120" s="276">
        <v>0</v>
      </c>
      <c r="I120" s="319">
        <v>11000</v>
      </c>
      <c r="J120" s="66">
        <v>12474</v>
      </c>
      <c r="K120" s="153">
        <v>57437</v>
      </c>
      <c r="M120" s="145"/>
    </row>
    <row r="121" spans="1:13" x14ac:dyDescent="0.35">
      <c r="A121" s="23" t="s">
        <v>63</v>
      </c>
      <c r="B121" s="195"/>
      <c r="C121" s="36"/>
      <c r="D121" s="36"/>
      <c r="E121" s="64">
        <v>0</v>
      </c>
      <c r="F121" s="65"/>
      <c r="G121" s="229"/>
      <c r="H121" s="276"/>
      <c r="I121" s="319"/>
      <c r="J121" s="66"/>
      <c r="K121" s="153">
        <v>0</v>
      </c>
      <c r="M121" s="146"/>
    </row>
    <row r="122" spans="1:13" ht="15" thickBot="1" x14ac:dyDescent="0.4">
      <c r="A122" s="23" t="s">
        <v>15</v>
      </c>
      <c r="B122" s="195">
        <v>42490</v>
      </c>
      <c r="C122" s="36">
        <v>47415</v>
      </c>
      <c r="D122" s="36">
        <v>27444</v>
      </c>
      <c r="E122" s="64">
        <v>28123</v>
      </c>
      <c r="F122" s="65">
        <v>27940</v>
      </c>
      <c r="G122" s="229">
        <v>5200</v>
      </c>
      <c r="H122" s="276">
        <v>0</v>
      </c>
      <c r="I122" s="319">
        <v>7700</v>
      </c>
      <c r="J122" s="66">
        <v>9789</v>
      </c>
      <c r="K122" s="153">
        <v>28814</v>
      </c>
      <c r="M122" s="145"/>
    </row>
    <row r="123" spans="1:13" ht="15" thickBot="1" x14ac:dyDescent="0.4">
      <c r="A123" s="15" t="s">
        <v>70</v>
      </c>
      <c r="B123" s="197">
        <f t="shared" ref="B123:D123" si="114">B120-B122</f>
        <v>41989</v>
      </c>
      <c r="C123" s="30">
        <f t="shared" si="114"/>
        <v>34846</v>
      </c>
      <c r="D123" s="30">
        <f t="shared" si="114"/>
        <v>5568</v>
      </c>
      <c r="E123" s="30">
        <f>SUM(E120-E122)</f>
        <v>29424</v>
      </c>
      <c r="F123" s="67">
        <f>SUM(F120-F121-F122)</f>
        <v>19265</v>
      </c>
      <c r="G123" s="230">
        <f>SUM(G120-G121-G122)</f>
        <v>2800</v>
      </c>
      <c r="H123" s="277">
        <f>SUM(H120-H121-H122)</f>
        <v>0</v>
      </c>
      <c r="I123" s="320">
        <f>SUM(I120-I121-I122)</f>
        <v>3300</v>
      </c>
      <c r="J123" s="68">
        <f>SUM(J120-J122)</f>
        <v>2685</v>
      </c>
      <c r="K123" s="160">
        <f t="shared" ref="K123" si="115">K120-K122</f>
        <v>28623</v>
      </c>
      <c r="M123" s="145"/>
    </row>
    <row r="124" spans="1:13" x14ac:dyDescent="0.35">
      <c r="A124" s="15"/>
      <c r="B124" s="192"/>
      <c r="C124" s="72"/>
      <c r="D124" s="72"/>
      <c r="E124" s="173"/>
      <c r="F124" s="83"/>
      <c r="G124" s="237"/>
      <c r="H124" s="284"/>
      <c r="I124" s="327"/>
      <c r="J124" s="84"/>
      <c r="K124" s="161"/>
      <c r="M124" s="146"/>
    </row>
    <row r="125" spans="1:13" x14ac:dyDescent="0.35">
      <c r="A125" s="19"/>
      <c r="B125" s="178"/>
      <c r="C125" s="64"/>
      <c r="D125" s="64"/>
      <c r="E125" s="171"/>
      <c r="F125" s="69"/>
      <c r="G125" s="231"/>
      <c r="H125" s="278"/>
      <c r="I125" s="321"/>
      <c r="J125" s="70"/>
      <c r="K125" s="159"/>
      <c r="M125" s="145"/>
    </row>
    <row r="126" spans="1:13" x14ac:dyDescent="0.35">
      <c r="A126" s="3" t="s">
        <v>71</v>
      </c>
      <c r="B126" s="178"/>
      <c r="C126" s="64"/>
      <c r="D126" s="64"/>
      <c r="E126" s="171"/>
      <c r="F126" s="69"/>
      <c r="G126" s="231"/>
      <c r="H126" s="278"/>
      <c r="I126" s="321"/>
      <c r="J126" s="70"/>
      <c r="K126" s="159"/>
      <c r="M126" s="146"/>
    </row>
    <row r="127" spans="1:13" x14ac:dyDescent="0.35">
      <c r="A127" s="23" t="s">
        <v>66</v>
      </c>
      <c r="B127" s="178"/>
      <c r="C127" s="64">
        <v>0</v>
      </c>
      <c r="D127" s="64">
        <v>48034</v>
      </c>
      <c r="E127" s="64">
        <v>43715</v>
      </c>
      <c r="F127" s="65">
        <v>35022</v>
      </c>
      <c r="G127" s="238"/>
      <c r="H127" s="285">
        <v>0</v>
      </c>
      <c r="I127" s="328">
        <v>5000</v>
      </c>
      <c r="J127" s="66">
        <v>3502</v>
      </c>
      <c r="K127" s="159">
        <v>9361</v>
      </c>
      <c r="M127" s="146"/>
    </row>
    <row r="128" spans="1:13" x14ac:dyDescent="0.35">
      <c r="A128" s="23" t="s">
        <v>63</v>
      </c>
      <c r="B128" s="178"/>
      <c r="C128" s="64"/>
      <c r="D128" s="64"/>
      <c r="E128" s="64"/>
      <c r="F128" s="65">
        <v>0</v>
      </c>
      <c r="G128" s="238"/>
      <c r="H128" s="285">
        <v>0</v>
      </c>
      <c r="I128" s="328"/>
      <c r="J128" s="66"/>
      <c r="K128" s="159">
        <v>0</v>
      </c>
      <c r="M128" s="147"/>
    </row>
    <row r="129" spans="1:11" ht="15" thickBot="1" x14ac:dyDescent="0.4">
      <c r="A129" s="23" t="s">
        <v>15</v>
      </c>
      <c r="B129" s="178"/>
      <c r="C129" s="64">
        <v>0</v>
      </c>
      <c r="D129" s="64">
        <v>23323</v>
      </c>
      <c r="E129" s="64">
        <v>29669</v>
      </c>
      <c r="F129" s="65">
        <v>18042</v>
      </c>
      <c r="G129" s="238"/>
      <c r="H129" s="285"/>
      <c r="I129" s="328">
        <v>3250</v>
      </c>
      <c r="J129" s="66">
        <v>192</v>
      </c>
      <c r="K129" s="159">
        <v>6584</v>
      </c>
    </row>
    <row r="130" spans="1:11" ht="15" thickBot="1" x14ac:dyDescent="0.4">
      <c r="A130" s="15" t="s">
        <v>72</v>
      </c>
      <c r="B130" s="191">
        <f t="shared" ref="B130:D130" si="116">B127-B129</f>
        <v>0</v>
      </c>
      <c r="C130" s="30">
        <f t="shared" si="116"/>
        <v>0</v>
      </c>
      <c r="D130" s="30">
        <f t="shared" si="116"/>
        <v>24711</v>
      </c>
      <c r="E130" s="30">
        <f>E127-E129</f>
        <v>14046</v>
      </c>
      <c r="F130" s="67">
        <f>SUM(F127-F128-F129)</f>
        <v>16980</v>
      </c>
      <c r="G130" s="239">
        <f>SUM(G127-G129)</f>
        <v>0</v>
      </c>
      <c r="H130" s="286">
        <f>SUM(H127-H129)</f>
        <v>0</v>
      </c>
      <c r="I130" s="329">
        <f>SUM(I127-I129)</f>
        <v>1750</v>
      </c>
      <c r="J130" s="68">
        <f>J127+J129</f>
        <v>3694</v>
      </c>
      <c r="K130" s="160">
        <f t="shared" ref="K130" si="117">K127-K129</f>
        <v>2777</v>
      </c>
    </row>
    <row r="131" spans="1:11" x14ac:dyDescent="0.35">
      <c r="A131" s="15"/>
      <c r="B131" s="192"/>
      <c r="C131" s="72"/>
      <c r="D131" s="72"/>
      <c r="E131" s="172"/>
      <c r="F131" s="75"/>
      <c r="G131" s="240"/>
      <c r="H131" s="287"/>
      <c r="I131" s="330"/>
      <c r="J131" s="76"/>
      <c r="K131" s="161"/>
    </row>
    <row r="132" spans="1:11" x14ac:dyDescent="0.35">
      <c r="A132" s="15" t="s">
        <v>73</v>
      </c>
      <c r="B132" s="178"/>
      <c r="C132" s="64"/>
      <c r="D132" s="64"/>
      <c r="E132" s="171"/>
      <c r="F132" s="69"/>
      <c r="G132" s="240"/>
      <c r="H132" s="287"/>
      <c r="I132" s="330"/>
      <c r="J132" s="70"/>
      <c r="K132" s="159"/>
    </row>
    <row r="133" spans="1:11" x14ac:dyDescent="0.35">
      <c r="A133" s="23" t="s">
        <v>56</v>
      </c>
      <c r="B133" s="193">
        <f>B107+B120</f>
        <v>147971</v>
      </c>
      <c r="C133" s="24">
        <f>C107+C120</f>
        <v>135400</v>
      </c>
      <c r="D133" s="24">
        <f>D107+D113+D120+D127</f>
        <v>161044</v>
      </c>
      <c r="E133" s="24">
        <f t="shared" ref="E133:J133" si="118">SUM(E107,E113,E120,E127)</f>
        <v>201635</v>
      </c>
      <c r="F133" s="77">
        <f t="shared" si="118"/>
        <v>168432</v>
      </c>
      <c r="G133" s="241">
        <f t="shared" ref="G133" si="119">SUM(G107,G113,G120,G127)</f>
        <v>30863</v>
      </c>
      <c r="H133" s="288">
        <f t="shared" si="118"/>
        <v>22863</v>
      </c>
      <c r="I133" s="331">
        <f t="shared" ref="I133" si="120">SUM(I107,I113,I120,I127)</f>
        <v>43701</v>
      </c>
      <c r="J133" s="78">
        <f t="shared" si="118"/>
        <v>44237</v>
      </c>
      <c r="K133" s="162">
        <f>K107+K113+K120+K127</f>
        <v>167171</v>
      </c>
    </row>
    <row r="134" spans="1:11" x14ac:dyDescent="0.35">
      <c r="A134" s="23" t="s">
        <v>74</v>
      </c>
      <c r="B134" s="193"/>
      <c r="C134" s="24"/>
      <c r="D134" s="24"/>
      <c r="E134" s="24"/>
      <c r="F134" s="77">
        <f>SUM(F108,F114,F121,F128)</f>
        <v>0</v>
      </c>
      <c r="G134" s="238"/>
      <c r="H134" s="285"/>
      <c r="I134" s="328"/>
      <c r="J134" s="78"/>
      <c r="K134" s="162"/>
    </row>
    <row r="135" spans="1:11" ht="15" thickBot="1" x14ac:dyDescent="0.4">
      <c r="A135" s="23" t="s">
        <v>57</v>
      </c>
      <c r="B135" s="193">
        <f>+B109+B122</f>
        <v>71987</v>
      </c>
      <c r="C135" s="24">
        <f>+C109+C122</f>
        <v>77942</v>
      </c>
      <c r="D135" s="24">
        <f>SUM(D109+D115+D122+D129)</f>
        <v>98400</v>
      </c>
      <c r="E135" s="24">
        <f t="shared" ref="E135" si="121">SUM(E109,E115,E122,E129)</f>
        <v>124924</v>
      </c>
      <c r="F135" s="77">
        <f>SUM(F109,F115,F122,F129)</f>
        <v>96465</v>
      </c>
      <c r="G135" s="241">
        <f>SUM(G109, G115, G122, G129)</f>
        <v>24225</v>
      </c>
      <c r="H135" s="288">
        <f>SUM(H109, H115, H122, H129)</f>
        <v>19025</v>
      </c>
      <c r="I135" s="331">
        <f>SUM(I109, I115, I122, I129)</f>
        <v>40532</v>
      </c>
      <c r="J135" s="78">
        <f>SUM(J109, J115, J122, -J129)</f>
        <v>39179</v>
      </c>
      <c r="K135" s="162">
        <f>SUM(K109+K115+K122+K129)</f>
        <v>102478</v>
      </c>
    </row>
    <row r="136" spans="1:11" ht="15" thickBot="1" x14ac:dyDescent="0.4">
      <c r="A136" s="15" t="s">
        <v>58</v>
      </c>
      <c r="B136" s="191">
        <f t="shared" ref="B136:C136" si="122">SUM(B133-B135)</f>
        <v>75984</v>
      </c>
      <c r="C136" s="30">
        <f t="shared" si="122"/>
        <v>57458</v>
      </c>
      <c r="D136" s="30">
        <f t="shared" ref="D136" si="123">SUM(D133-D135)</f>
        <v>62644</v>
      </c>
      <c r="E136" s="30">
        <f>SUM(E133-E135)</f>
        <v>76711</v>
      </c>
      <c r="F136" s="67">
        <f>SUM(F133-F134-F135)</f>
        <v>71967</v>
      </c>
      <c r="G136" s="242">
        <f>SUM(G133-G135)</f>
        <v>6638</v>
      </c>
      <c r="H136" s="289">
        <f>SUM(H133-H135)</f>
        <v>3838</v>
      </c>
      <c r="I136" s="332">
        <f>SUM(I133-I135)</f>
        <v>3169</v>
      </c>
      <c r="J136" s="68">
        <f>SUM(J133-J135)</f>
        <v>5058</v>
      </c>
      <c r="K136" s="160">
        <f t="shared" ref="K136" si="124">SUM(K133-K135)</f>
        <v>64693</v>
      </c>
    </row>
    <row r="137" spans="1:11" ht="15" thickBot="1" x14ac:dyDescent="0.4">
      <c r="A137" s="28"/>
      <c r="B137" s="198"/>
      <c r="C137" s="87"/>
      <c r="D137" s="87"/>
      <c r="E137" s="87"/>
      <c r="F137" s="87"/>
      <c r="G137" s="243"/>
      <c r="H137" s="290"/>
      <c r="I137" s="375"/>
      <c r="J137" s="87"/>
      <c r="K137" s="87"/>
    </row>
    <row r="138" spans="1:11" x14ac:dyDescent="0.35">
      <c r="A138" s="19"/>
      <c r="B138" s="4"/>
      <c r="C138" s="5"/>
      <c r="D138" s="5"/>
      <c r="E138" s="169"/>
      <c r="F138" s="6" t="s">
        <v>216</v>
      </c>
      <c r="G138" s="211" t="s">
        <v>238</v>
      </c>
      <c r="H138" s="258" t="s">
        <v>239</v>
      </c>
      <c r="I138" s="303" t="s">
        <v>271</v>
      </c>
      <c r="J138" s="151" t="s">
        <v>281</v>
      </c>
      <c r="K138" s="126" t="s">
        <v>218</v>
      </c>
    </row>
    <row r="139" spans="1:11" x14ac:dyDescent="0.35">
      <c r="A139" s="19"/>
      <c r="B139" s="7" t="s">
        <v>2</v>
      </c>
      <c r="C139" s="8" t="s">
        <v>1</v>
      </c>
      <c r="D139" s="8" t="s">
        <v>1</v>
      </c>
      <c r="E139" s="7" t="s">
        <v>1</v>
      </c>
      <c r="F139" s="9" t="s">
        <v>3</v>
      </c>
      <c r="G139" s="212" t="s">
        <v>235</v>
      </c>
      <c r="H139" s="259" t="s">
        <v>5</v>
      </c>
      <c r="I139" s="304" t="s">
        <v>5</v>
      </c>
      <c r="J139" s="10" t="s">
        <v>4</v>
      </c>
      <c r="K139" s="127" t="s">
        <v>217</v>
      </c>
    </row>
    <row r="140" spans="1:11" ht="15" thickBot="1" x14ac:dyDescent="0.4">
      <c r="A140" s="19"/>
      <c r="B140" s="12" t="s">
        <v>6</v>
      </c>
      <c r="C140" s="12" t="s">
        <v>7</v>
      </c>
      <c r="D140" s="12" t="s">
        <v>8</v>
      </c>
      <c r="E140" s="12" t="s">
        <v>9</v>
      </c>
      <c r="F140" s="13" t="s">
        <v>230</v>
      </c>
      <c r="G140" s="213" t="s">
        <v>240</v>
      </c>
      <c r="H140" s="260" t="s">
        <v>236</v>
      </c>
      <c r="I140" s="305" t="s">
        <v>289</v>
      </c>
      <c r="J140" s="14" t="s">
        <v>231</v>
      </c>
      <c r="K140" s="128" t="s">
        <v>9</v>
      </c>
    </row>
    <row r="141" spans="1:11" x14ac:dyDescent="0.35">
      <c r="A141" s="15" t="s">
        <v>75</v>
      </c>
      <c r="B141" s="178"/>
      <c r="C141" s="64"/>
      <c r="D141" s="64"/>
      <c r="E141" s="64"/>
      <c r="F141" s="65"/>
      <c r="G141" s="214"/>
      <c r="H141" s="261" t="s">
        <v>237</v>
      </c>
      <c r="I141" s="306"/>
      <c r="J141" s="66"/>
      <c r="K141" s="159"/>
    </row>
    <row r="142" spans="1:11" x14ac:dyDescent="0.35">
      <c r="A142" s="19" t="s">
        <v>76</v>
      </c>
      <c r="B142" s="178">
        <v>19108</v>
      </c>
      <c r="C142" s="64">
        <v>20409</v>
      </c>
      <c r="D142" s="64">
        <v>22349</v>
      </c>
      <c r="E142" s="64">
        <v>28831</v>
      </c>
      <c r="F142" s="65">
        <v>25600</v>
      </c>
      <c r="G142" s="229">
        <v>0</v>
      </c>
      <c r="H142" s="276"/>
      <c r="I142" s="319">
        <v>4840</v>
      </c>
      <c r="J142" s="66">
        <v>4840</v>
      </c>
      <c r="K142" s="159">
        <v>28831</v>
      </c>
    </row>
    <row r="143" spans="1:11" ht="15" thickBot="1" x14ac:dyDescent="0.4">
      <c r="A143" s="19" t="s">
        <v>77</v>
      </c>
      <c r="B143" s="178">
        <v>18285</v>
      </c>
      <c r="C143" s="64">
        <v>20278</v>
      </c>
      <c r="D143" s="64">
        <v>16711</v>
      </c>
      <c r="E143" s="64">
        <v>15336</v>
      </c>
      <c r="F143" s="65">
        <v>20300</v>
      </c>
      <c r="G143" s="229">
        <v>0</v>
      </c>
      <c r="H143" s="276"/>
      <c r="I143" s="319">
        <v>32</v>
      </c>
      <c r="J143" s="66">
        <v>32</v>
      </c>
      <c r="K143" s="159">
        <v>15336</v>
      </c>
    </row>
    <row r="144" spans="1:11" ht="15" thickBot="1" x14ac:dyDescent="0.4">
      <c r="A144" s="3" t="s">
        <v>78</v>
      </c>
      <c r="B144" s="191">
        <f t="shared" ref="B144:D144" si="125">B142-B143</f>
        <v>823</v>
      </c>
      <c r="C144" s="30">
        <f t="shared" si="125"/>
        <v>131</v>
      </c>
      <c r="D144" s="30">
        <f t="shared" si="125"/>
        <v>5638</v>
      </c>
      <c r="E144" s="30">
        <f>E142-E143</f>
        <v>13495</v>
      </c>
      <c r="F144" s="67">
        <f>F142-F143</f>
        <v>5300</v>
      </c>
      <c r="G144" s="230">
        <v>0</v>
      </c>
      <c r="H144" s="277"/>
      <c r="I144" s="320">
        <f>SUM(I142-I143)</f>
        <v>4808</v>
      </c>
      <c r="J144" s="68">
        <f>J142-J143</f>
        <v>4808</v>
      </c>
      <c r="K144" s="160">
        <f t="shared" ref="K144" si="126">K142-K143</f>
        <v>13495</v>
      </c>
    </row>
    <row r="145" spans="1:11" x14ac:dyDescent="0.35">
      <c r="A145" s="19"/>
      <c r="B145" s="178"/>
      <c r="C145" s="64"/>
      <c r="D145" s="64"/>
      <c r="E145" s="64"/>
      <c r="F145" s="65"/>
      <c r="G145" s="229"/>
      <c r="H145" s="276"/>
      <c r="I145" s="319"/>
      <c r="J145" s="66"/>
      <c r="K145" s="159"/>
    </row>
    <row r="146" spans="1:11" x14ac:dyDescent="0.35">
      <c r="A146" s="23" t="s">
        <v>272</v>
      </c>
      <c r="B146" s="178">
        <v>375034</v>
      </c>
      <c r="C146" s="64">
        <v>396290</v>
      </c>
      <c r="D146" s="64">
        <v>414268</v>
      </c>
      <c r="E146" s="64">
        <v>447644</v>
      </c>
      <c r="F146" s="65">
        <v>431000</v>
      </c>
      <c r="G146" s="229">
        <v>41060</v>
      </c>
      <c r="H146" s="276">
        <v>41060</v>
      </c>
      <c r="I146" s="319">
        <v>43305</v>
      </c>
      <c r="J146" s="66">
        <v>43604</v>
      </c>
      <c r="K146" s="159">
        <v>447644</v>
      </c>
    </row>
    <row r="147" spans="1:11" ht="15" thickBot="1" x14ac:dyDescent="0.4">
      <c r="A147" s="23" t="s">
        <v>79</v>
      </c>
      <c r="B147" s="178">
        <v>213035</v>
      </c>
      <c r="C147" s="64">
        <v>246669</v>
      </c>
      <c r="D147" s="64">
        <v>259695</v>
      </c>
      <c r="E147" s="64">
        <v>254453</v>
      </c>
      <c r="F147" s="65">
        <v>248000</v>
      </c>
      <c r="G147" s="229">
        <v>16000</v>
      </c>
      <c r="H147" s="276">
        <v>16000</v>
      </c>
      <c r="I147" s="319">
        <v>10708</v>
      </c>
      <c r="J147" s="66">
        <v>10708</v>
      </c>
      <c r="K147" s="159">
        <v>247492</v>
      </c>
    </row>
    <row r="148" spans="1:11" ht="15" thickBot="1" x14ac:dyDescent="0.4">
      <c r="A148" s="15" t="s">
        <v>80</v>
      </c>
      <c r="B148" s="191">
        <f t="shared" ref="B148:D148" si="127">B146-B147</f>
        <v>161999</v>
      </c>
      <c r="C148" s="30">
        <f t="shared" si="127"/>
        <v>149621</v>
      </c>
      <c r="D148" s="30">
        <f t="shared" si="127"/>
        <v>154573</v>
      </c>
      <c r="E148" s="30">
        <f t="shared" ref="E148:J148" si="128">E146-E147</f>
        <v>193191</v>
      </c>
      <c r="F148" s="67">
        <f t="shared" si="128"/>
        <v>183000</v>
      </c>
      <c r="G148" s="230">
        <f t="shared" ref="G148" si="129">G146-G147</f>
        <v>25060</v>
      </c>
      <c r="H148" s="277">
        <f t="shared" si="128"/>
        <v>25060</v>
      </c>
      <c r="I148" s="320">
        <f t="shared" ref="I148" si="130">I146-I147</f>
        <v>32597</v>
      </c>
      <c r="J148" s="68">
        <f t="shared" si="128"/>
        <v>32896</v>
      </c>
      <c r="K148" s="160">
        <f t="shared" ref="K148" si="131">K146-K147</f>
        <v>200152</v>
      </c>
    </row>
    <row r="149" spans="1:11" x14ac:dyDescent="0.35">
      <c r="A149" s="15"/>
      <c r="B149" s="192"/>
      <c r="C149" s="72"/>
      <c r="D149" s="72"/>
      <c r="E149" s="72"/>
      <c r="F149" s="73"/>
      <c r="G149" s="232"/>
      <c r="H149" s="279"/>
      <c r="I149" s="322"/>
      <c r="J149" s="74"/>
      <c r="K149" s="161"/>
    </row>
    <row r="150" spans="1:11" x14ac:dyDescent="0.35">
      <c r="A150" s="23" t="s">
        <v>81</v>
      </c>
      <c r="B150" s="178">
        <v>17407</v>
      </c>
      <c r="C150" s="64">
        <v>23653</v>
      </c>
      <c r="D150" s="64">
        <v>20060</v>
      </c>
      <c r="E150" s="64">
        <v>25327</v>
      </c>
      <c r="F150" s="65">
        <v>21750</v>
      </c>
      <c r="G150" s="229">
        <v>37175</v>
      </c>
      <c r="H150" s="276">
        <v>37175</v>
      </c>
      <c r="I150" s="319">
        <v>38325</v>
      </c>
      <c r="J150" s="66">
        <v>38325</v>
      </c>
      <c r="K150" s="159">
        <v>25327</v>
      </c>
    </row>
    <row r="151" spans="1:11" ht="15" thickBot="1" x14ac:dyDescent="0.4">
      <c r="A151" s="23" t="s">
        <v>82</v>
      </c>
      <c r="B151" s="178">
        <v>6453</v>
      </c>
      <c r="C151" s="64">
        <v>9768</v>
      </c>
      <c r="D151" s="64">
        <v>10141</v>
      </c>
      <c r="E151" s="64">
        <v>14092</v>
      </c>
      <c r="F151" s="65">
        <v>13000</v>
      </c>
      <c r="G151" s="229">
        <v>22000</v>
      </c>
      <c r="H151" s="276">
        <v>22000</v>
      </c>
      <c r="I151" s="319">
        <v>17887</v>
      </c>
      <c r="J151" s="66">
        <v>17887</v>
      </c>
      <c r="K151" s="159">
        <v>13774</v>
      </c>
    </row>
    <row r="152" spans="1:11" ht="15" thickBot="1" x14ac:dyDescent="0.4">
      <c r="A152" s="15" t="s">
        <v>83</v>
      </c>
      <c r="B152" s="191">
        <f t="shared" ref="B152:D152" si="132">B150-B151</f>
        <v>10954</v>
      </c>
      <c r="C152" s="30">
        <f t="shared" si="132"/>
        <v>13885</v>
      </c>
      <c r="D152" s="30">
        <f t="shared" si="132"/>
        <v>9919</v>
      </c>
      <c r="E152" s="30">
        <f>E150-E151</f>
        <v>11235</v>
      </c>
      <c r="F152" s="67">
        <f>F150-F151</f>
        <v>8750</v>
      </c>
      <c r="G152" s="230">
        <f>SUM(G150-G151)</f>
        <v>15175</v>
      </c>
      <c r="H152" s="277">
        <f>SUM(H150-H151)</f>
        <v>15175</v>
      </c>
      <c r="I152" s="320">
        <f>I150-I151</f>
        <v>20438</v>
      </c>
      <c r="J152" s="68">
        <f>J150-J151</f>
        <v>20438</v>
      </c>
      <c r="K152" s="160">
        <f t="shared" ref="K152" si="133">K150-K151</f>
        <v>11553</v>
      </c>
    </row>
    <row r="153" spans="1:11" x14ac:dyDescent="0.35">
      <c r="A153" s="15"/>
      <c r="B153" s="192"/>
      <c r="C153" s="72"/>
      <c r="D153" s="72"/>
      <c r="E153" s="72"/>
      <c r="F153" s="73"/>
      <c r="G153" s="232"/>
      <c r="H153" s="279"/>
      <c r="I153" s="322"/>
      <c r="J153" s="74"/>
      <c r="K153" s="161"/>
    </row>
    <row r="154" spans="1:11" x14ac:dyDescent="0.35">
      <c r="A154" s="23" t="s">
        <v>84</v>
      </c>
      <c r="B154" s="178">
        <v>127480</v>
      </c>
      <c r="C154" s="64">
        <v>98853</v>
      </c>
      <c r="D154" s="64">
        <v>99882</v>
      </c>
      <c r="E154" s="64">
        <v>147535</v>
      </c>
      <c r="F154" s="65">
        <v>134850</v>
      </c>
      <c r="G154" s="229">
        <v>66325</v>
      </c>
      <c r="H154" s="276">
        <v>66325</v>
      </c>
      <c r="I154" s="319">
        <v>64171</v>
      </c>
      <c r="J154" s="66">
        <v>63653</v>
      </c>
      <c r="K154" s="159">
        <v>147535</v>
      </c>
    </row>
    <row r="155" spans="1:11" ht="15" thickBot="1" x14ac:dyDescent="0.4">
      <c r="A155" s="23" t="s">
        <v>85</v>
      </c>
      <c r="B155" s="178">
        <v>60538</v>
      </c>
      <c r="C155" s="64">
        <v>48927</v>
      </c>
      <c r="D155" s="64">
        <v>45995</v>
      </c>
      <c r="E155" s="64">
        <v>66249</v>
      </c>
      <c r="F155" s="65">
        <v>60435</v>
      </c>
      <c r="G155" s="229">
        <v>39000</v>
      </c>
      <c r="H155" s="276">
        <v>39000</v>
      </c>
      <c r="I155" s="319">
        <v>49737</v>
      </c>
      <c r="J155" s="66">
        <v>49737</v>
      </c>
      <c r="K155" s="159">
        <v>66249</v>
      </c>
    </row>
    <row r="156" spans="1:11" ht="15" thickBot="1" x14ac:dyDescent="0.4">
      <c r="A156" s="15" t="s">
        <v>86</v>
      </c>
      <c r="B156" s="191">
        <f t="shared" ref="B156:D156" si="134">B154-B155</f>
        <v>66942</v>
      </c>
      <c r="C156" s="30">
        <f t="shared" si="134"/>
        <v>49926</v>
      </c>
      <c r="D156" s="30">
        <f t="shared" si="134"/>
        <v>53887</v>
      </c>
      <c r="E156" s="30">
        <f t="shared" ref="E156:J156" si="135">E154-E155</f>
        <v>81286</v>
      </c>
      <c r="F156" s="67">
        <f t="shared" si="135"/>
        <v>74415</v>
      </c>
      <c r="G156" s="230">
        <f t="shared" ref="G156" si="136">G154-G155</f>
        <v>27325</v>
      </c>
      <c r="H156" s="277">
        <f t="shared" si="135"/>
        <v>27325</v>
      </c>
      <c r="I156" s="320">
        <f t="shared" ref="I156" si="137">I154-I155</f>
        <v>14434</v>
      </c>
      <c r="J156" s="68">
        <f t="shared" si="135"/>
        <v>13916</v>
      </c>
      <c r="K156" s="160">
        <f t="shared" ref="K156" si="138">K154-K155</f>
        <v>81286</v>
      </c>
    </row>
    <row r="157" spans="1:11" x14ac:dyDescent="0.35">
      <c r="A157" s="15"/>
      <c r="B157" s="192"/>
      <c r="C157" s="72"/>
      <c r="D157" s="72"/>
      <c r="E157" s="72"/>
      <c r="F157" s="73"/>
      <c r="G157" s="232"/>
      <c r="H157" s="279"/>
      <c r="I157" s="322"/>
      <c r="J157" s="74"/>
      <c r="K157" s="161"/>
    </row>
    <row r="158" spans="1:11" x14ac:dyDescent="0.35">
      <c r="A158" s="23"/>
      <c r="B158" s="178">
        <v>0</v>
      </c>
      <c r="C158" s="64">
        <v>0</v>
      </c>
      <c r="D158" s="64">
        <v>0</v>
      </c>
      <c r="E158" s="64">
        <v>0</v>
      </c>
      <c r="F158" s="65">
        <v>0</v>
      </c>
      <c r="G158" s="229">
        <v>0</v>
      </c>
      <c r="H158" s="276">
        <v>0</v>
      </c>
      <c r="I158" s="319">
        <v>0</v>
      </c>
      <c r="J158" s="66">
        <v>0</v>
      </c>
      <c r="K158" s="159">
        <v>0</v>
      </c>
    </row>
    <row r="159" spans="1:11" ht="15" thickBot="1" x14ac:dyDescent="0.4">
      <c r="A159" s="23"/>
      <c r="B159" s="178">
        <v>0</v>
      </c>
      <c r="C159" s="64">
        <v>0</v>
      </c>
      <c r="D159" s="64">
        <v>0</v>
      </c>
      <c r="E159" s="64">
        <v>0</v>
      </c>
      <c r="F159" s="65">
        <v>0</v>
      </c>
      <c r="G159" s="229">
        <v>0</v>
      </c>
      <c r="H159" s="276">
        <v>0</v>
      </c>
      <c r="I159" s="319">
        <v>0</v>
      </c>
      <c r="J159" s="66">
        <v>0</v>
      </c>
      <c r="K159" s="159">
        <v>0</v>
      </c>
    </row>
    <row r="160" spans="1:11" ht="15" thickBot="1" x14ac:dyDescent="0.4">
      <c r="A160" s="15" t="s">
        <v>223</v>
      </c>
      <c r="B160" s="191">
        <f t="shared" ref="B160:D160" si="139">B158-B159</f>
        <v>0</v>
      </c>
      <c r="C160" s="30">
        <f t="shared" si="139"/>
        <v>0</v>
      </c>
      <c r="D160" s="30">
        <f t="shared" si="139"/>
        <v>0</v>
      </c>
      <c r="E160" s="30">
        <f t="shared" ref="E160:J160" si="140">E158-E159</f>
        <v>0</v>
      </c>
      <c r="F160" s="67">
        <f t="shared" si="140"/>
        <v>0</v>
      </c>
      <c r="G160" s="230">
        <f t="shared" ref="G160" si="141">G158-G159</f>
        <v>0</v>
      </c>
      <c r="H160" s="277">
        <f t="shared" si="140"/>
        <v>0</v>
      </c>
      <c r="I160" s="320">
        <f t="shared" ref="I160" si="142">I158-I159</f>
        <v>0</v>
      </c>
      <c r="J160" s="68">
        <f t="shared" si="140"/>
        <v>0</v>
      </c>
      <c r="K160" s="160">
        <f t="shared" ref="K160" si="143">K158-K159</f>
        <v>0</v>
      </c>
    </row>
    <row r="161" spans="1:11" x14ac:dyDescent="0.35">
      <c r="A161" s="15"/>
      <c r="B161" s="192"/>
      <c r="C161" s="72"/>
      <c r="D161" s="72"/>
      <c r="E161" s="72"/>
      <c r="F161" s="73"/>
      <c r="G161" s="232"/>
      <c r="H161" s="279"/>
      <c r="I161" s="322"/>
      <c r="J161" s="74"/>
      <c r="K161" s="161"/>
    </row>
    <row r="162" spans="1:11" x14ac:dyDescent="0.35">
      <c r="A162" s="15" t="s">
        <v>87</v>
      </c>
      <c r="B162" s="178"/>
      <c r="C162" s="64"/>
      <c r="D162" s="64"/>
      <c r="E162" s="64"/>
      <c r="F162" s="65"/>
      <c r="G162" s="229"/>
      <c r="H162" s="276"/>
      <c r="I162" s="319"/>
      <c r="J162" s="66"/>
      <c r="K162" s="159"/>
    </row>
    <row r="163" spans="1:11" x14ac:dyDescent="0.35">
      <c r="A163" s="23" t="s">
        <v>56</v>
      </c>
      <c r="B163" s="193">
        <f t="shared" ref="B163:J165" si="144">B142+B146+B150+B154+B158</f>
        <v>539029</v>
      </c>
      <c r="C163" s="24">
        <f t="shared" si="144"/>
        <v>539205</v>
      </c>
      <c r="D163" s="24">
        <f t="shared" si="144"/>
        <v>556559</v>
      </c>
      <c r="E163" s="24">
        <f t="shared" ref="E163" si="145">E142+E146+E150+E154+E158</f>
        <v>649337</v>
      </c>
      <c r="F163" s="77">
        <f t="shared" si="144"/>
        <v>613200</v>
      </c>
      <c r="G163" s="234">
        <f t="shared" ref="G163" si="146">G142+G146+G150+G154+G158</f>
        <v>144560</v>
      </c>
      <c r="H163" s="281">
        <f t="shared" ref="H163:I165" si="147">H142+H146+H150+H154+H158</f>
        <v>144560</v>
      </c>
      <c r="I163" s="324">
        <f t="shared" si="147"/>
        <v>150641</v>
      </c>
      <c r="J163" s="78">
        <f t="shared" si="144"/>
        <v>150422</v>
      </c>
      <c r="K163" s="162">
        <f t="shared" ref="K163" si="148">K142+K146+K150+K154+K158</f>
        <v>649337</v>
      </c>
    </row>
    <row r="164" spans="1:11" ht="15" thickBot="1" x14ac:dyDescent="0.4">
      <c r="A164" s="23" t="s">
        <v>57</v>
      </c>
      <c r="B164" s="193">
        <f t="shared" si="144"/>
        <v>298311</v>
      </c>
      <c r="C164" s="24">
        <f t="shared" si="144"/>
        <v>325642</v>
      </c>
      <c r="D164" s="24">
        <f t="shared" si="144"/>
        <v>332542</v>
      </c>
      <c r="E164" s="24">
        <f t="shared" ref="E164" si="149">E143+E147+E151+E155+E159</f>
        <v>350130</v>
      </c>
      <c r="F164" s="77">
        <f t="shared" si="144"/>
        <v>341735</v>
      </c>
      <c r="G164" s="234">
        <f t="shared" ref="G164" si="150">G143+G147+G151+G155+G159</f>
        <v>77000</v>
      </c>
      <c r="H164" s="281">
        <f t="shared" si="147"/>
        <v>77000</v>
      </c>
      <c r="I164" s="324">
        <f t="shared" si="147"/>
        <v>78364</v>
      </c>
      <c r="J164" s="78">
        <f t="shared" si="144"/>
        <v>78364</v>
      </c>
      <c r="K164" s="162">
        <f t="shared" ref="K164" si="151">K143+K147+K151+K155+K159</f>
        <v>342851</v>
      </c>
    </row>
    <row r="165" spans="1:11" ht="15" thickBot="1" x14ac:dyDescent="0.4">
      <c r="A165" s="15" t="s">
        <v>58</v>
      </c>
      <c r="B165" s="191">
        <f>SUM(B163-B164)</f>
        <v>240718</v>
      </c>
      <c r="C165" s="30">
        <f>C144+C148+C152+C156+C160</f>
        <v>213563</v>
      </c>
      <c r="D165" s="30">
        <f>D144+D148+D152+D156+D160</f>
        <v>224017</v>
      </c>
      <c r="E165" s="30">
        <f t="shared" ref="E165" si="152">E144+E148+E152+E156+E160</f>
        <v>299207</v>
      </c>
      <c r="F165" s="67">
        <f t="shared" si="144"/>
        <v>271465</v>
      </c>
      <c r="G165" s="230">
        <f t="shared" ref="G165" si="153">G144+G148+G152+G156+G160</f>
        <v>67560</v>
      </c>
      <c r="H165" s="277">
        <f t="shared" si="147"/>
        <v>67560</v>
      </c>
      <c r="I165" s="320">
        <f t="shared" si="147"/>
        <v>72277</v>
      </c>
      <c r="J165" s="68">
        <f t="shared" si="144"/>
        <v>72058</v>
      </c>
      <c r="K165" s="160">
        <f>K144+K148+K152+K156+K160</f>
        <v>306486</v>
      </c>
    </row>
    <row r="166" spans="1:11" ht="15" thickBot="1" x14ac:dyDescent="0.4">
      <c r="A166" s="28"/>
      <c r="B166" s="199"/>
      <c r="C166" s="88"/>
      <c r="D166" s="88"/>
      <c r="E166" s="88"/>
      <c r="F166" s="88"/>
      <c r="G166" s="244"/>
      <c r="H166" s="279"/>
      <c r="I166" s="376"/>
      <c r="J166" s="88"/>
      <c r="K166" s="88"/>
    </row>
    <row r="167" spans="1:11" x14ac:dyDescent="0.35">
      <c r="A167" s="19"/>
      <c r="B167" s="4"/>
      <c r="C167" s="5"/>
      <c r="D167" s="5"/>
      <c r="E167" s="169"/>
      <c r="F167" s="6" t="s">
        <v>216</v>
      </c>
      <c r="G167" s="211" t="s">
        <v>238</v>
      </c>
      <c r="H167" s="258" t="s">
        <v>239</v>
      </c>
      <c r="I167" s="303" t="s">
        <v>271</v>
      </c>
      <c r="J167" s="151" t="s">
        <v>281</v>
      </c>
      <c r="K167" s="126" t="s">
        <v>218</v>
      </c>
    </row>
    <row r="168" spans="1:11" x14ac:dyDescent="0.35">
      <c r="A168" s="19"/>
      <c r="B168" s="7" t="s">
        <v>2</v>
      </c>
      <c r="C168" s="8" t="s">
        <v>1</v>
      </c>
      <c r="D168" s="8" t="s">
        <v>1</v>
      </c>
      <c r="E168" s="7" t="s">
        <v>1</v>
      </c>
      <c r="F168" s="9" t="s">
        <v>3</v>
      </c>
      <c r="G168" s="212" t="s">
        <v>235</v>
      </c>
      <c r="H168" s="259" t="s">
        <v>5</v>
      </c>
      <c r="I168" s="304" t="s">
        <v>5</v>
      </c>
      <c r="J168" s="10" t="s">
        <v>4</v>
      </c>
      <c r="K168" s="127" t="s">
        <v>217</v>
      </c>
    </row>
    <row r="169" spans="1:11" ht="15" thickBot="1" x14ac:dyDescent="0.4">
      <c r="A169" s="19"/>
      <c r="B169" s="12" t="s">
        <v>6</v>
      </c>
      <c r="C169" s="12" t="s">
        <v>7</v>
      </c>
      <c r="D169" s="12" t="s">
        <v>8</v>
      </c>
      <c r="E169" s="12" t="s">
        <v>9</v>
      </c>
      <c r="F169" s="13" t="s">
        <v>230</v>
      </c>
      <c r="G169" s="213" t="s">
        <v>240</v>
      </c>
      <c r="H169" s="260" t="s">
        <v>236</v>
      </c>
      <c r="I169" s="305" t="s">
        <v>289</v>
      </c>
      <c r="J169" s="14" t="s">
        <v>231</v>
      </c>
      <c r="K169" s="128" t="s">
        <v>9</v>
      </c>
    </row>
    <row r="170" spans="1:11" x14ac:dyDescent="0.35">
      <c r="A170" s="15" t="s">
        <v>88</v>
      </c>
      <c r="B170" s="178"/>
      <c r="C170" s="36"/>
      <c r="D170" s="36"/>
      <c r="E170" s="36"/>
      <c r="F170" s="89"/>
      <c r="G170" s="214"/>
      <c r="H170" s="261" t="s">
        <v>237</v>
      </c>
      <c r="I170" s="306"/>
      <c r="J170" s="90"/>
      <c r="K170" s="153"/>
    </row>
    <row r="171" spans="1:11" x14ac:dyDescent="0.35">
      <c r="A171" s="23" t="s">
        <v>89</v>
      </c>
      <c r="B171" s="178">
        <v>17561</v>
      </c>
      <c r="C171" s="36">
        <v>29618</v>
      </c>
      <c r="D171" s="36">
        <v>26404</v>
      </c>
      <c r="E171" s="36">
        <v>13000</v>
      </c>
      <c r="F171" s="89">
        <v>10000</v>
      </c>
      <c r="G171" s="245">
        <v>13350</v>
      </c>
      <c r="H171" s="291">
        <v>13350</v>
      </c>
      <c r="I171" s="333">
        <v>13715</v>
      </c>
      <c r="J171" s="90">
        <v>13715</v>
      </c>
      <c r="K171" s="153">
        <v>13000</v>
      </c>
    </row>
    <row r="172" spans="1:11" ht="15" thickBot="1" x14ac:dyDescent="0.4">
      <c r="A172" s="23" t="s">
        <v>90</v>
      </c>
      <c r="B172" s="178">
        <v>20824</v>
      </c>
      <c r="C172" s="36">
        <v>21234</v>
      </c>
      <c r="D172" s="36">
        <v>18993</v>
      </c>
      <c r="E172" s="36">
        <v>5470</v>
      </c>
      <c r="F172" s="89">
        <v>5000</v>
      </c>
      <c r="G172" s="245">
        <v>8677</v>
      </c>
      <c r="H172" s="291">
        <v>8677</v>
      </c>
      <c r="I172" s="333">
        <v>9129</v>
      </c>
      <c r="J172" s="90">
        <v>9129</v>
      </c>
      <c r="K172" s="153">
        <v>5470</v>
      </c>
    </row>
    <row r="173" spans="1:11" ht="15" thickBot="1" x14ac:dyDescent="0.4">
      <c r="A173" s="15" t="s">
        <v>91</v>
      </c>
      <c r="B173" s="191">
        <f t="shared" ref="B173:D173" si="154">B171-B172</f>
        <v>-3263</v>
      </c>
      <c r="C173" s="30">
        <f t="shared" si="154"/>
        <v>8384</v>
      </c>
      <c r="D173" s="30">
        <f t="shared" si="154"/>
        <v>7411</v>
      </c>
      <c r="E173" s="30">
        <v>7530</v>
      </c>
      <c r="F173" s="67">
        <f>F171-F172</f>
        <v>5000</v>
      </c>
      <c r="G173" s="230">
        <f>G171-G172</f>
        <v>4673</v>
      </c>
      <c r="H173" s="277">
        <f>H171-H172</f>
        <v>4673</v>
      </c>
      <c r="I173" s="320">
        <f>I171-I172</f>
        <v>4586</v>
      </c>
      <c r="J173" s="68">
        <f>SUM(J171-J172)</f>
        <v>4586</v>
      </c>
      <c r="K173" s="160">
        <f t="shared" ref="K173" si="155">K171-K172</f>
        <v>7530</v>
      </c>
    </row>
    <row r="174" spans="1:11" x14ac:dyDescent="0.35">
      <c r="A174" s="15"/>
      <c r="B174" s="178"/>
      <c r="C174" s="36"/>
      <c r="D174" s="36"/>
      <c r="E174" s="174"/>
      <c r="F174" s="91"/>
      <c r="G174" s="246"/>
      <c r="H174" s="292"/>
      <c r="I174" s="334"/>
      <c r="J174" s="92"/>
      <c r="K174" s="153"/>
    </row>
    <row r="175" spans="1:11" x14ac:dyDescent="0.35">
      <c r="A175" s="15"/>
      <c r="B175" s="178"/>
      <c r="C175" s="36"/>
      <c r="D175" s="36"/>
      <c r="E175" s="174"/>
      <c r="F175" s="91"/>
      <c r="G175" s="246"/>
      <c r="H175" s="292"/>
      <c r="I175" s="334"/>
      <c r="J175" s="92"/>
      <c r="K175" s="153"/>
    </row>
    <row r="176" spans="1:11" x14ac:dyDescent="0.35">
      <c r="A176" s="23" t="s">
        <v>92</v>
      </c>
      <c r="B176" s="178">
        <v>33728</v>
      </c>
      <c r="C176" s="36">
        <v>43956</v>
      </c>
      <c r="D176" s="36">
        <v>45444</v>
      </c>
      <c r="E176" s="36">
        <v>43738</v>
      </c>
      <c r="F176" s="89">
        <v>40000</v>
      </c>
      <c r="G176" s="245">
        <v>0</v>
      </c>
      <c r="H176" s="291">
        <v>0</v>
      </c>
      <c r="I176" s="333">
        <v>13000</v>
      </c>
      <c r="J176" s="90">
        <v>12703</v>
      </c>
      <c r="K176" s="153">
        <v>38759</v>
      </c>
    </row>
    <row r="177" spans="1:12" ht="15" thickBot="1" x14ac:dyDescent="0.4">
      <c r="A177" s="23" t="s">
        <v>93</v>
      </c>
      <c r="B177" s="178">
        <v>23410</v>
      </c>
      <c r="C177" s="36">
        <v>33582</v>
      </c>
      <c r="D177" s="36">
        <v>29712</v>
      </c>
      <c r="E177" s="36">
        <v>32202</v>
      </c>
      <c r="F177" s="89">
        <v>26000</v>
      </c>
      <c r="G177" s="245">
        <v>0</v>
      </c>
      <c r="H177" s="291"/>
      <c r="I177" s="333">
        <v>8450</v>
      </c>
      <c r="J177" s="90">
        <v>5261</v>
      </c>
      <c r="K177" s="153">
        <v>25864</v>
      </c>
    </row>
    <row r="178" spans="1:12" ht="15" thickBot="1" x14ac:dyDescent="0.4">
      <c r="A178" s="15" t="s">
        <v>94</v>
      </c>
      <c r="B178" s="191">
        <f t="shared" ref="B178:D178" si="156">B176-B177</f>
        <v>10318</v>
      </c>
      <c r="C178" s="30">
        <f t="shared" si="156"/>
        <v>10374</v>
      </c>
      <c r="D178" s="30">
        <f t="shared" si="156"/>
        <v>15732</v>
      </c>
      <c r="E178" s="30">
        <f>E176-E177</f>
        <v>11536</v>
      </c>
      <c r="F178" s="67">
        <f>F176-F177</f>
        <v>14000</v>
      </c>
      <c r="G178" s="230">
        <v>0</v>
      </c>
      <c r="H178" s="277">
        <f>SUM(H176-H177)</f>
        <v>0</v>
      </c>
      <c r="I178" s="320">
        <f>SUM(I176-I177)</f>
        <v>4550</v>
      </c>
      <c r="J178" s="68">
        <f>J176-J177</f>
        <v>7442</v>
      </c>
      <c r="K178" s="160">
        <f t="shared" ref="K178" si="157">K176-K177</f>
        <v>12895</v>
      </c>
    </row>
    <row r="179" spans="1:12" x14ac:dyDescent="0.35">
      <c r="A179" s="15"/>
      <c r="B179" s="178"/>
      <c r="C179" s="36"/>
      <c r="D179" s="36"/>
      <c r="E179" s="174"/>
      <c r="F179" s="91"/>
      <c r="G179" s="246"/>
      <c r="H179" s="292"/>
      <c r="I179" s="334"/>
      <c r="J179" s="92"/>
      <c r="K179" s="153"/>
    </row>
    <row r="180" spans="1:12" x14ac:dyDescent="0.35">
      <c r="A180" s="15"/>
      <c r="B180" s="178"/>
      <c r="C180" s="36"/>
      <c r="D180" s="36"/>
      <c r="E180" s="174"/>
      <c r="F180" s="91"/>
      <c r="G180" s="246"/>
      <c r="H180" s="292"/>
      <c r="I180" s="334"/>
      <c r="J180" s="92"/>
      <c r="K180" s="153"/>
    </row>
    <row r="181" spans="1:12" x14ac:dyDescent="0.35">
      <c r="A181" s="23" t="s">
        <v>95</v>
      </c>
      <c r="B181" s="178">
        <v>203503</v>
      </c>
      <c r="C181" s="36">
        <v>193785</v>
      </c>
      <c r="D181" s="36">
        <v>181683</v>
      </c>
      <c r="E181" s="36">
        <v>175045</v>
      </c>
      <c r="F181" s="89">
        <v>178000</v>
      </c>
      <c r="G181" s="245">
        <v>52400</v>
      </c>
      <c r="H181" s="291">
        <v>30000</v>
      </c>
      <c r="I181" s="333">
        <v>110000</v>
      </c>
      <c r="J181" s="90">
        <v>103256</v>
      </c>
      <c r="K181" s="153">
        <v>155286</v>
      </c>
    </row>
    <row r="182" spans="1:12" ht="15" thickBot="1" x14ac:dyDescent="0.4">
      <c r="A182" s="23" t="s">
        <v>96</v>
      </c>
      <c r="B182" s="178">
        <v>150704</v>
      </c>
      <c r="C182" s="36">
        <v>146014</v>
      </c>
      <c r="D182" s="36">
        <v>125465</v>
      </c>
      <c r="E182" s="36">
        <v>127641</v>
      </c>
      <c r="F182" s="89">
        <v>125000</v>
      </c>
      <c r="G182" s="245">
        <v>38776</v>
      </c>
      <c r="H182" s="291">
        <v>20974</v>
      </c>
      <c r="I182" s="333">
        <v>70300</v>
      </c>
      <c r="J182" s="90">
        <v>43633</v>
      </c>
      <c r="K182" s="153">
        <v>103518</v>
      </c>
    </row>
    <row r="183" spans="1:12" ht="15" thickBot="1" x14ac:dyDescent="0.4">
      <c r="A183" s="15" t="s">
        <v>97</v>
      </c>
      <c r="B183" s="191">
        <f t="shared" ref="B183:D183" si="158">B181-B182</f>
        <v>52799</v>
      </c>
      <c r="C183" s="30">
        <f t="shared" si="158"/>
        <v>47771</v>
      </c>
      <c r="D183" s="30">
        <f t="shared" si="158"/>
        <v>56218</v>
      </c>
      <c r="E183" s="30">
        <f t="shared" ref="E183:J183" si="159">E181-E182</f>
        <v>47404</v>
      </c>
      <c r="F183" s="67">
        <f t="shared" si="159"/>
        <v>53000</v>
      </c>
      <c r="G183" s="230">
        <f t="shared" ref="G183" si="160">G181-G182</f>
        <v>13624</v>
      </c>
      <c r="H183" s="277">
        <f t="shared" si="159"/>
        <v>9026</v>
      </c>
      <c r="I183" s="320">
        <f t="shared" ref="I183" si="161">I181-I182</f>
        <v>39700</v>
      </c>
      <c r="J183" s="68">
        <f t="shared" si="159"/>
        <v>59623</v>
      </c>
      <c r="K183" s="160">
        <f t="shared" ref="K183" si="162">K181-K182</f>
        <v>51768</v>
      </c>
    </row>
    <row r="184" spans="1:12" x14ac:dyDescent="0.35">
      <c r="A184" s="19"/>
      <c r="B184" s="178"/>
      <c r="C184" s="36"/>
      <c r="D184" s="36"/>
      <c r="E184" s="36"/>
      <c r="F184" s="89"/>
      <c r="G184" s="245"/>
      <c r="H184" s="291"/>
      <c r="I184" s="333"/>
      <c r="J184" s="90"/>
      <c r="K184" s="153"/>
    </row>
    <row r="185" spans="1:12" x14ac:dyDescent="0.35">
      <c r="A185" s="23" t="s">
        <v>98</v>
      </c>
      <c r="B185" s="178">
        <v>11065</v>
      </c>
      <c r="C185" s="36">
        <v>11525</v>
      </c>
      <c r="D185" s="36">
        <v>19391</v>
      </c>
      <c r="E185" s="36">
        <v>21627</v>
      </c>
      <c r="F185" s="89">
        <v>21000</v>
      </c>
      <c r="G185" s="245">
        <v>0</v>
      </c>
      <c r="H185" s="291">
        <v>0</v>
      </c>
      <c r="I185" s="333">
        <v>53</v>
      </c>
      <c r="J185" s="90">
        <v>53</v>
      </c>
      <c r="K185" s="153">
        <v>18900</v>
      </c>
    </row>
    <row r="186" spans="1:12" ht="15" thickBot="1" x14ac:dyDescent="0.4">
      <c r="A186" s="23" t="s">
        <v>99</v>
      </c>
      <c r="B186" s="178">
        <v>5411</v>
      </c>
      <c r="C186" s="36">
        <v>4370</v>
      </c>
      <c r="D186" s="36">
        <v>7734</v>
      </c>
      <c r="E186" s="36">
        <v>6528</v>
      </c>
      <c r="F186" s="89">
        <v>7500</v>
      </c>
      <c r="G186" s="245">
        <v>0</v>
      </c>
      <c r="H186" s="291">
        <v>0</v>
      </c>
      <c r="I186" s="333">
        <v>1449</v>
      </c>
      <c r="J186" s="90">
        <v>1449</v>
      </c>
      <c r="K186" s="153">
        <v>1100</v>
      </c>
      <c r="L186" s="120"/>
    </row>
    <row r="187" spans="1:12" ht="15" thickBot="1" x14ac:dyDescent="0.4">
      <c r="A187" s="15" t="s">
        <v>100</v>
      </c>
      <c r="B187" s="191">
        <f t="shared" ref="B187:D187" si="163">B185-B186</f>
        <v>5654</v>
      </c>
      <c r="C187" s="30">
        <f t="shared" si="163"/>
        <v>7155</v>
      </c>
      <c r="D187" s="30">
        <f t="shared" si="163"/>
        <v>11657</v>
      </c>
      <c r="E187" s="30">
        <f>E185-E186</f>
        <v>15099</v>
      </c>
      <c r="F187" s="67">
        <f>F185-F186</f>
        <v>13500</v>
      </c>
      <c r="G187" s="230">
        <v>0</v>
      </c>
      <c r="H187" s="277">
        <v>0</v>
      </c>
      <c r="I187" s="320">
        <f>SUM(I185-I186)</f>
        <v>-1396</v>
      </c>
      <c r="J187" s="68">
        <f>J185-J186</f>
        <v>-1396</v>
      </c>
      <c r="K187" s="160">
        <f t="shared" ref="K187" si="164">K185-K186</f>
        <v>17800</v>
      </c>
      <c r="L187" s="121"/>
    </row>
    <row r="188" spans="1:12" x14ac:dyDescent="0.35">
      <c r="A188" s="19"/>
      <c r="B188" s="178"/>
      <c r="C188" s="36"/>
      <c r="D188" s="36"/>
      <c r="E188" s="36"/>
      <c r="F188" s="89"/>
      <c r="G188" s="245"/>
      <c r="H188" s="291"/>
      <c r="I188" s="333"/>
      <c r="J188" s="90"/>
      <c r="K188" s="153"/>
    </row>
    <row r="189" spans="1:12" x14ac:dyDescent="0.35">
      <c r="A189" s="23" t="s">
        <v>101</v>
      </c>
      <c r="B189" s="178">
        <v>22384</v>
      </c>
      <c r="C189" s="36">
        <v>21300</v>
      </c>
      <c r="D189" s="36">
        <v>22348</v>
      </c>
      <c r="E189" s="36">
        <v>23635</v>
      </c>
      <c r="F189" s="89">
        <v>23000</v>
      </c>
      <c r="G189" s="245">
        <v>27000</v>
      </c>
      <c r="H189" s="291">
        <v>24500</v>
      </c>
      <c r="I189" s="333">
        <v>32805</v>
      </c>
      <c r="J189" s="90">
        <v>32920</v>
      </c>
      <c r="K189" s="153">
        <v>22900</v>
      </c>
      <c r="L189" s="121"/>
    </row>
    <row r="190" spans="1:12" ht="15" thickBot="1" x14ac:dyDescent="0.4">
      <c r="A190" s="23" t="s">
        <v>102</v>
      </c>
      <c r="B190" s="178">
        <v>5729</v>
      </c>
      <c r="C190" s="36">
        <v>6611</v>
      </c>
      <c r="D190" s="36">
        <v>5215</v>
      </c>
      <c r="E190" s="36">
        <v>5808</v>
      </c>
      <c r="F190" s="89">
        <v>6500</v>
      </c>
      <c r="G190" s="245">
        <v>6000</v>
      </c>
      <c r="H190" s="291">
        <v>3000</v>
      </c>
      <c r="I190" s="333">
        <v>6000</v>
      </c>
      <c r="J190" s="90">
        <v>4809</v>
      </c>
      <c r="K190" s="153">
        <v>5268</v>
      </c>
    </row>
    <row r="191" spans="1:12" ht="15" thickBot="1" x14ac:dyDescent="0.4">
      <c r="A191" s="15" t="s">
        <v>100</v>
      </c>
      <c r="B191" s="191">
        <f t="shared" ref="B191:D191" si="165">B189-B190</f>
        <v>16655</v>
      </c>
      <c r="C191" s="30">
        <f t="shared" si="165"/>
        <v>14689</v>
      </c>
      <c r="D191" s="30">
        <f t="shared" si="165"/>
        <v>17133</v>
      </c>
      <c r="E191" s="30">
        <f t="shared" ref="E191:J191" si="166">E189-E190</f>
        <v>17827</v>
      </c>
      <c r="F191" s="67">
        <f t="shared" si="166"/>
        <v>16500</v>
      </c>
      <c r="G191" s="230">
        <f t="shared" ref="G191" si="167">G189-G190</f>
        <v>21000</v>
      </c>
      <c r="H191" s="277">
        <f t="shared" si="166"/>
        <v>21500</v>
      </c>
      <c r="I191" s="320">
        <f t="shared" ref="I191" si="168">I189-I190</f>
        <v>26805</v>
      </c>
      <c r="J191" s="68">
        <f t="shared" si="166"/>
        <v>28111</v>
      </c>
      <c r="K191" s="160">
        <f t="shared" ref="K191" si="169">K189-K190</f>
        <v>17632</v>
      </c>
    </row>
    <row r="192" spans="1:12" x14ac:dyDescent="0.35">
      <c r="A192" s="19"/>
      <c r="B192" s="178"/>
      <c r="C192" s="36"/>
      <c r="D192" s="36"/>
      <c r="E192" s="36"/>
      <c r="F192" s="89"/>
      <c r="G192" s="245"/>
      <c r="H192" s="291"/>
      <c r="I192" s="333"/>
      <c r="J192" s="90"/>
      <c r="K192" s="153"/>
    </row>
    <row r="193" spans="1:11" x14ac:dyDescent="0.35">
      <c r="A193" s="23" t="s">
        <v>103</v>
      </c>
      <c r="B193" s="178">
        <v>89427</v>
      </c>
      <c r="C193" s="36">
        <v>103506</v>
      </c>
      <c r="D193" s="36">
        <v>123820</v>
      </c>
      <c r="E193" s="36">
        <v>107499</v>
      </c>
      <c r="F193" s="89">
        <v>60125</v>
      </c>
      <c r="G193" s="245">
        <f>SUM(G343)</f>
        <v>2000</v>
      </c>
      <c r="H193" s="291">
        <f>SUM(H343)</f>
        <v>2000</v>
      </c>
      <c r="I193" s="333">
        <v>2000</v>
      </c>
      <c r="J193" s="90">
        <v>2000</v>
      </c>
      <c r="K193" s="153">
        <v>105164</v>
      </c>
    </row>
    <row r="194" spans="1:11" ht="15" thickBot="1" x14ac:dyDescent="0.4">
      <c r="A194" s="23" t="s">
        <v>104</v>
      </c>
      <c r="B194" s="178">
        <v>54749</v>
      </c>
      <c r="C194" s="36">
        <v>79491</v>
      </c>
      <c r="D194" s="36">
        <v>85122</v>
      </c>
      <c r="E194" s="36">
        <v>69445</v>
      </c>
      <c r="F194" s="89">
        <v>32752</v>
      </c>
      <c r="G194" s="245">
        <f>SUM(G344+G345)</f>
        <v>3989</v>
      </c>
      <c r="H194" s="291">
        <f>SUM(H344+H345)</f>
        <v>3989</v>
      </c>
      <c r="I194" s="333">
        <v>4019</v>
      </c>
      <c r="J194" s="90">
        <v>4019</v>
      </c>
      <c r="K194" s="153">
        <v>61593</v>
      </c>
    </row>
    <row r="195" spans="1:11" ht="15" thickBot="1" x14ac:dyDescent="0.4">
      <c r="A195" s="15" t="s">
        <v>105</v>
      </c>
      <c r="B195" s="191">
        <f t="shared" ref="B195:F195" si="170">SUM(B193-B194)</f>
        <v>34678</v>
      </c>
      <c r="C195" s="30">
        <f t="shared" si="170"/>
        <v>24015</v>
      </c>
      <c r="D195" s="30">
        <f t="shared" si="170"/>
        <v>38698</v>
      </c>
      <c r="E195" s="30">
        <f>SUM(E193-E194)</f>
        <v>38054</v>
      </c>
      <c r="F195" s="67">
        <f t="shared" si="170"/>
        <v>27373</v>
      </c>
      <c r="G195" s="230">
        <f>SUM(G193-G194)</f>
        <v>-1989</v>
      </c>
      <c r="H195" s="277">
        <f>SUM(H193-H194)</f>
        <v>-1989</v>
      </c>
      <c r="I195" s="320">
        <f>SUM(I193-I194)</f>
        <v>-2019</v>
      </c>
      <c r="J195" s="68">
        <f>SUM(J193-J194)</f>
        <v>-2019</v>
      </c>
      <c r="K195" s="160">
        <f t="shared" ref="K195" si="171">SUM(K193-K194)</f>
        <v>43571</v>
      </c>
    </row>
    <row r="196" spans="1:11" x14ac:dyDescent="0.35">
      <c r="A196" s="19"/>
      <c r="B196" s="178"/>
      <c r="C196" s="36"/>
      <c r="D196" s="36"/>
      <c r="E196" s="36"/>
      <c r="F196" s="89"/>
      <c r="G196" s="245"/>
      <c r="H196" s="291"/>
      <c r="I196" s="333"/>
      <c r="J196" s="90"/>
      <c r="K196" s="153"/>
    </row>
    <row r="197" spans="1:11" x14ac:dyDescent="0.35">
      <c r="A197" s="23" t="s">
        <v>106</v>
      </c>
      <c r="B197" s="178">
        <v>0</v>
      </c>
      <c r="C197" s="36">
        <v>0</v>
      </c>
      <c r="D197" s="36">
        <v>0</v>
      </c>
      <c r="E197" s="36">
        <v>0</v>
      </c>
      <c r="F197" s="89">
        <v>0</v>
      </c>
      <c r="G197" s="245">
        <v>0</v>
      </c>
      <c r="H197" s="291">
        <v>0</v>
      </c>
      <c r="I197" s="333">
        <v>0</v>
      </c>
      <c r="J197" s="90">
        <v>0</v>
      </c>
      <c r="K197" s="153">
        <v>0</v>
      </c>
    </row>
    <row r="198" spans="1:11" ht="15" thickBot="1" x14ac:dyDescent="0.4">
      <c r="A198" s="23" t="s">
        <v>220</v>
      </c>
      <c r="B198" s="200">
        <v>612</v>
      </c>
      <c r="C198" s="93">
        <v>2320</v>
      </c>
      <c r="D198" s="93">
        <v>0</v>
      </c>
      <c r="E198" s="93">
        <v>1993</v>
      </c>
      <c r="F198" s="94">
        <v>0</v>
      </c>
      <c r="G198" s="247">
        <v>0</v>
      </c>
      <c r="H198" s="293">
        <v>0</v>
      </c>
      <c r="I198" s="335">
        <v>0</v>
      </c>
      <c r="J198" s="95">
        <v>0</v>
      </c>
      <c r="K198" s="165">
        <v>0</v>
      </c>
    </row>
    <row r="199" spans="1:11" ht="15" thickBot="1" x14ac:dyDescent="0.4">
      <c r="A199" s="15" t="s">
        <v>107</v>
      </c>
      <c r="B199" s="191">
        <f t="shared" ref="B199:J199" si="172">B197-B198</f>
        <v>-612</v>
      </c>
      <c r="C199" s="30">
        <f t="shared" si="172"/>
        <v>-2320</v>
      </c>
      <c r="D199" s="30">
        <f t="shared" si="172"/>
        <v>0</v>
      </c>
      <c r="E199" s="30">
        <f t="shared" ref="E199" si="173">E197-E198</f>
        <v>-1993</v>
      </c>
      <c r="F199" s="67">
        <v>0</v>
      </c>
      <c r="G199" s="230">
        <v>0</v>
      </c>
      <c r="H199" s="277">
        <v>0</v>
      </c>
      <c r="I199" s="320">
        <v>0</v>
      </c>
      <c r="J199" s="68">
        <f t="shared" si="172"/>
        <v>0</v>
      </c>
      <c r="K199" s="160">
        <f t="shared" ref="K199" si="174">K197-K198</f>
        <v>0</v>
      </c>
    </row>
    <row r="200" spans="1:11" x14ac:dyDescent="0.35">
      <c r="A200" s="15"/>
      <c r="B200" s="192"/>
      <c r="C200" s="71"/>
      <c r="D200" s="71"/>
      <c r="E200" s="71"/>
      <c r="F200" s="96"/>
      <c r="G200" s="248"/>
      <c r="H200" s="294"/>
      <c r="I200" s="336"/>
      <c r="J200" s="97"/>
      <c r="K200" s="166"/>
    </row>
    <row r="201" spans="1:11" x14ac:dyDescent="0.35">
      <c r="A201" s="23" t="s">
        <v>108</v>
      </c>
      <c r="B201" s="178">
        <v>2800</v>
      </c>
      <c r="C201" s="36">
        <v>2400</v>
      </c>
      <c r="D201" s="36">
        <v>5600</v>
      </c>
      <c r="E201" s="36">
        <v>3700</v>
      </c>
      <c r="F201" s="89">
        <v>4000</v>
      </c>
      <c r="G201" s="245">
        <v>0</v>
      </c>
      <c r="H201" s="291">
        <v>0</v>
      </c>
      <c r="I201" s="333">
        <v>0</v>
      </c>
      <c r="J201" s="90">
        <v>0</v>
      </c>
      <c r="K201" s="153">
        <v>3700</v>
      </c>
    </row>
    <row r="202" spans="1:11" ht="15" thickBot="1" x14ac:dyDescent="0.4">
      <c r="A202" s="23" t="s">
        <v>109</v>
      </c>
      <c r="B202" s="178">
        <v>21798</v>
      </c>
      <c r="C202" s="36">
        <v>21354</v>
      </c>
      <c r="D202" s="36">
        <v>18401</v>
      </c>
      <c r="E202" s="36">
        <v>16480</v>
      </c>
      <c r="F202" s="89">
        <v>18000</v>
      </c>
      <c r="G202" s="245">
        <v>4968</v>
      </c>
      <c r="H202" s="291">
        <v>4968</v>
      </c>
      <c r="I202" s="333">
        <v>4968</v>
      </c>
      <c r="J202" s="90">
        <v>4968</v>
      </c>
      <c r="K202" s="153">
        <v>17396</v>
      </c>
    </row>
    <row r="203" spans="1:11" ht="15" thickBot="1" x14ac:dyDescent="0.4">
      <c r="A203" s="15" t="s">
        <v>110</v>
      </c>
      <c r="B203" s="191">
        <f t="shared" ref="B203:D203" si="175">B201-B202</f>
        <v>-18998</v>
      </c>
      <c r="C203" s="30">
        <f t="shared" si="175"/>
        <v>-18954</v>
      </c>
      <c r="D203" s="30">
        <f t="shared" si="175"/>
        <v>-12801</v>
      </c>
      <c r="E203" s="30">
        <f t="shared" ref="E203:J203" si="176">E201-E202</f>
        <v>-12780</v>
      </c>
      <c r="F203" s="67">
        <f t="shared" si="176"/>
        <v>-14000</v>
      </c>
      <c r="G203" s="230">
        <f t="shared" ref="G203" si="177">G201-G202</f>
        <v>-4968</v>
      </c>
      <c r="H203" s="277">
        <f t="shared" si="176"/>
        <v>-4968</v>
      </c>
      <c r="I203" s="320">
        <f t="shared" ref="I203" si="178">I201-I202</f>
        <v>-4968</v>
      </c>
      <c r="J203" s="68">
        <f t="shared" si="176"/>
        <v>-4968</v>
      </c>
      <c r="K203" s="160">
        <f t="shared" ref="K203" si="179">K201-K202</f>
        <v>-13696</v>
      </c>
    </row>
    <row r="204" spans="1:11" x14ac:dyDescent="0.35">
      <c r="A204" s="19"/>
      <c r="B204" s="192"/>
      <c r="C204" s="71"/>
      <c r="D204" s="71"/>
      <c r="E204" s="71"/>
      <c r="F204" s="96"/>
      <c r="G204" s="248"/>
      <c r="H204" s="294"/>
      <c r="I204" s="336"/>
      <c r="J204" s="97"/>
      <c r="K204" s="166"/>
    </row>
    <row r="205" spans="1:11" x14ac:dyDescent="0.35">
      <c r="A205" s="15" t="s">
        <v>111</v>
      </c>
      <c r="B205" s="178"/>
      <c r="C205" s="36"/>
      <c r="D205" s="36"/>
      <c r="E205" s="36"/>
      <c r="F205" s="89"/>
      <c r="G205" s="245"/>
      <c r="H205" s="291"/>
      <c r="I205" s="333"/>
      <c r="J205" s="90"/>
      <c r="K205" s="153"/>
    </row>
    <row r="206" spans="1:11" x14ac:dyDescent="0.35">
      <c r="A206" s="23" t="s">
        <v>56</v>
      </c>
      <c r="B206" s="193">
        <f t="shared" ref="B206:J206" si="180">B171+B189+B193+B197+B201+B185+B176+B181</f>
        <v>380468</v>
      </c>
      <c r="C206" s="24">
        <f t="shared" si="180"/>
        <v>406090</v>
      </c>
      <c r="D206" s="24">
        <f t="shared" si="180"/>
        <v>424690</v>
      </c>
      <c r="E206" s="24">
        <f t="shared" ref="E206" si="181">E171+E189+E193+E197+E201+E185+E176+E181</f>
        <v>388244</v>
      </c>
      <c r="F206" s="77">
        <f t="shared" si="180"/>
        <v>336125</v>
      </c>
      <c r="G206" s="234">
        <f>G171+G189+G193+G197+G201+G185+G176+G181</f>
        <v>94750</v>
      </c>
      <c r="H206" s="281">
        <f>H171+H189+H193+H197+H201+H185+H176+H181</f>
        <v>69850</v>
      </c>
      <c r="I206" s="324">
        <f>I171+I189+I193+I197+I201+I185+I176+I181</f>
        <v>171573</v>
      </c>
      <c r="J206" s="78">
        <f t="shared" si="180"/>
        <v>164647</v>
      </c>
      <c r="K206" s="162">
        <f t="shared" ref="K206" si="182">K171+K189+K193+K197+K201+K185+K176+K181</f>
        <v>357709</v>
      </c>
    </row>
    <row r="207" spans="1:11" ht="15" thickBot="1" x14ac:dyDescent="0.4">
      <c r="A207" s="23" t="s">
        <v>57</v>
      </c>
      <c r="B207" s="193">
        <f t="shared" ref="B207:J207" si="183">B172+B194+B198+B202+B190+B186+B177+B182</f>
        <v>283237</v>
      </c>
      <c r="C207" s="24">
        <f t="shared" si="183"/>
        <v>314976</v>
      </c>
      <c r="D207" s="24">
        <f t="shared" si="183"/>
        <v>290642</v>
      </c>
      <c r="E207" s="24">
        <f t="shared" ref="E207" si="184">E172+E194+E198+E202+E190+E186+E177+E182</f>
        <v>265567</v>
      </c>
      <c r="F207" s="77">
        <f t="shared" si="183"/>
        <v>220752</v>
      </c>
      <c r="G207" s="234">
        <f>SUM(G172, G177, G182, G186, G190, G194, G198, G202)</f>
        <v>62410</v>
      </c>
      <c r="H207" s="281">
        <f>SUM(H172, H177, H182, H186, H190, H194, H198, H202)</f>
        <v>41608</v>
      </c>
      <c r="I207" s="324">
        <f>SUM(I172, I177, I182, I186, I190, I194, I198, I202)</f>
        <v>104315</v>
      </c>
      <c r="J207" s="78">
        <f t="shared" si="183"/>
        <v>73268</v>
      </c>
      <c r="K207" s="162">
        <f t="shared" ref="K207" si="185">K172+K194+K198+K202+K190+K186+K177+K182</f>
        <v>220209</v>
      </c>
    </row>
    <row r="208" spans="1:11" ht="15" thickBot="1" x14ac:dyDescent="0.4">
      <c r="A208" s="28" t="s">
        <v>58</v>
      </c>
      <c r="B208" s="191">
        <f t="shared" ref="B208:D208" si="186">B206-B207</f>
        <v>97231</v>
      </c>
      <c r="C208" s="30">
        <f t="shared" si="186"/>
        <v>91114</v>
      </c>
      <c r="D208" s="30">
        <f t="shared" si="186"/>
        <v>134048</v>
      </c>
      <c r="E208" s="30">
        <f t="shared" ref="E208:J208" si="187">E206-E207</f>
        <v>122677</v>
      </c>
      <c r="F208" s="67">
        <f t="shared" si="187"/>
        <v>115373</v>
      </c>
      <c r="G208" s="230">
        <f t="shared" ref="G208" si="188">G206-G207</f>
        <v>32340</v>
      </c>
      <c r="H208" s="277">
        <f t="shared" si="187"/>
        <v>28242</v>
      </c>
      <c r="I208" s="320">
        <f t="shared" ref="I208" si="189">I206-I207</f>
        <v>67258</v>
      </c>
      <c r="J208" s="68">
        <f t="shared" si="187"/>
        <v>91379</v>
      </c>
      <c r="K208" s="160">
        <f t="shared" ref="K208" si="190">K206-K207</f>
        <v>137500</v>
      </c>
    </row>
    <row r="209" spans="1:11" ht="15" thickBot="1" x14ac:dyDescent="0.4">
      <c r="A209" s="28"/>
      <c r="B209" s="98"/>
      <c r="C209" s="98"/>
      <c r="D209" s="98"/>
      <c r="E209" s="98"/>
      <c r="F209" s="98"/>
      <c r="G209" s="249"/>
      <c r="H209" s="295"/>
      <c r="I209" s="377"/>
      <c r="J209" s="98"/>
      <c r="K209" s="98"/>
    </row>
    <row r="210" spans="1:11" x14ac:dyDescent="0.35">
      <c r="A210" s="19"/>
      <c r="B210" s="4"/>
      <c r="C210" s="5"/>
      <c r="D210" s="5"/>
      <c r="E210" s="169"/>
      <c r="F210" s="6" t="s">
        <v>216</v>
      </c>
      <c r="G210" s="211" t="s">
        <v>238</v>
      </c>
      <c r="H210" s="258" t="s">
        <v>239</v>
      </c>
      <c r="I210" s="303" t="s">
        <v>271</v>
      </c>
      <c r="J210" s="151" t="s">
        <v>281</v>
      </c>
      <c r="K210" s="126" t="s">
        <v>218</v>
      </c>
    </row>
    <row r="211" spans="1:11" x14ac:dyDescent="0.35">
      <c r="A211" s="19"/>
      <c r="B211" s="7" t="s">
        <v>2</v>
      </c>
      <c r="C211" s="8" t="s">
        <v>1</v>
      </c>
      <c r="D211" s="8" t="s">
        <v>1</v>
      </c>
      <c r="E211" s="7" t="s">
        <v>1</v>
      </c>
      <c r="F211" s="9" t="s">
        <v>3</v>
      </c>
      <c r="G211" s="212" t="s">
        <v>235</v>
      </c>
      <c r="H211" s="259" t="s">
        <v>5</v>
      </c>
      <c r="I211" s="304" t="s">
        <v>5</v>
      </c>
      <c r="J211" s="10" t="s">
        <v>4</v>
      </c>
      <c r="K211" s="127" t="s">
        <v>217</v>
      </c>
    </row>
    <row r="212" spans="1:11" ht="15" thickBot="1" x14ac:dyDescent="0.4">
      <c r="A212" s="3" t="s">
        <v>112</v>
      </c>
      <c r="B212" s="11" t="s">
        <v>6</v>
      </c>
      <c r="C212" s="12" t="s">
        <v>7</v>
      </c>
      <c r="D212" s="12" t="s">
        <v>8</v>
      </c>
      <c r="E212" s="12" t="s">
        <v>9</v>
      </c>
      <c r="F212" s="13" t="s">
        <v>230</v>
      </c>
      <c r="G212" s="213" t="s">
        <v>240</v>
      </c>
      <c r="H212" s="260" t="s">
        <v>236</v>
      </c>
      <c r="I212" s="305" t="s">
        <v>289</v>
      </c>
      <c r="J212" s="14" t="s">
        <v>231</v>
      </c>
      <c r="K212" s="128" t="s">
        <v>9</v>
      </c>
    </row>
    <row r="213" spans="1:11" x14ac:dyDescent="0.35">
      <c r="A213" s="19" t="s">
        <v>113</v>
      </c>
      <c r="B213" s="36">
        <v>755</v>
      </c>
      <c r="C213" s="36">
        <v>2512</v>
      </c>
      <c r="D213" s="36">
        <v>1977</v>
      </c>
      <c r="E213" s="36">
        <v>3200</v>
      </c>
      <c r="F213" s="89">
        <v>2600</v>
      </c>
      <c r="G213" s="347">
        <v>585</v>
      </c>
      <c r="H213" s="348">
        <v>585</v>
      </c>
      <c r="I213" s="346">
        <v>510</v>
      </c>
      <c r="J213" s="90">
        <v>510</v>
      </c>
      <c r="K213" s="153">
        <v>3215</v>
      </c>
    </row>
    <row r="214" spans="1:11" ht="15" thickBot="1" x14ac:dyDescent="0.4">
      <c r="A214" s="19" t="s">
        <v>114</v>
      </c>
      <c r="B214" s="93">
        <v>0</v>
      </c>
      <c r="C214" s="93">
        <v>0</v>
      </c>
      <c r="D214" s="93">
        <v>135</v>
      </c>
      <c r="E214" s="93">
        <v>0</v>
      </c>
      <c r="F214" s="94">
        <v>2095</v>
      </c>
      <c r="G214" s="247">
        <v>0</v>
      </c>
      <c r="H214" s="293">
        <v>0</v>
      </c>
      <c r="I214" s="335">
        <v>0</v>
      </c>
      <c r="J214" s="95">
        <v>0</v>
      </c>
      <c r="K214" s="165">
        <v>0</v>
      </c>
    </row>
    <row r="215" spans="1:11" ht="15" thickBot="1" x14ac:dyDescent="0.4">
      <c r="A215" s="3" t="s">
        <v>115</v>
      </c>
      <c r="B215" s="30">
        <f t="shared" ref="B215:D215" si="191">B213-B214</f>
        <v>755</v>
      </c>
      <c r="C215" s="30">
        <f t="shared" si="191"/>
        <v>2512</v>
      </c>
      <c r="D215" s="30">
        <f t="shared" si="191"/>
        <v>1842</v>
      </c>
      <c r="E215" s="30">
        <f t="shared" ref="E215:J215" si="192">E213-E214</f>
        <v>3200</v>
      </c>
      <c r="F215" s="67">
        <f t="shared" si="192"/>
        <v>505</v>
      </c>
      <c r="G215" s="230">
        <f t="shared" ref="G215" si="193">G213-G214</f>
        <v>585</v>
      </c>
      <c r="H215" s="277">
        <f t="shared" si="192"/>
        <v>585</v>
      </c>
      <c r="I215" s="320">
        <f t="shared" ref="I215" si="194">I213-I214</f>
        <v>510</v>
      </c>
      <c r="J215" s="68">
        <f t="shared" si="192"/>
        <v>510</v>
      </c>
      <c r="K215" s="160">
        <f t="shared" ref="K215" si="195">K213-K214</f>
        <v>3215</v>
      </c>
    </row>
    <row r="216" spans="1:11" x14ac:dyDescent="0.35">
      <c r="A216" s="3"/>
      <c r="B216" s="71"/>
      <c r="C216" s="71"/>
      <c r="D216" s="71"/>
      <c r="E216" s="71"/>
      <c r="F216" s="96"/>
      <c r="G216" s="248"/>
      <c r="H216" s="294"/>
      <c r="I216" s="336"/>
      <c r="J216" s="97"/>
      <c r="K216" s="166"/>
    </row>
    <row r="217" spans="1:11" x14ac:dyDescent="0.35">
      <c r="A217" s="23" t="s">
        <v>116</v>
      </c>
      <c r="B217" s="36">
        <v>6354</v>
      </c>
      <c r="C217" s="36">
        <v>9769</v>
      </c>
      <c r="D217" s="36">
        <v>7165</v>
      </c>
      <c r="E217" s="36">
        <v>10201</v>
      </c>
      <c r="F217" s="89">
        <v>7000</v>
      </c>
      <c r="G217" s="245">
        <v>183</v>
      </c>
      <c r="H217" s="291">
        <v>183</v>
      </c>
      <c r="I217" s="333">
        <v>183</v>
      </c>
      <c r="J217" s="90">
        <v>183</v>
      </c>
      <c r="K217" s="153">
        <v>9893</v>
      </c>
    </row>
    <row r="218" spans="1:11" ht="15" thickBot="1" x14ac:dyDescent="0.4">
      <c r="A218" s="23" t="s">
        <v>117</v>
      </c>
      <c r="B218" s="36">
        <v>0</v>
      </c>
      <c r="C218" s="36">
        <v>764</v>
      </c>
      <c r="D218" s="36">
        <v>416</v>
      </c>
      <c r="E218" s="36">
        <v>2186</v>
      </c>
      <c r="F218" s="89">
        <v>2095</v>
      </c>
      <c r="G218" s="245">
        <v>118</v>
      </c>
      <c r="H218" s="291">
        <v>118</v>
      </c>
      <c r="I218" s="333">
        <v>118</v>
      </c>
      <c r="J218" s="90">
        <v>118</v>
      </c>
      <c r="K218" s="153">
        <v>1290</v>
      </c>
    </row>
    <row r="219" spans="1:11" ht="15" thickBot="1" x14ac:dyDescent="0.4">
      <c r="A219" s="15" t="s">
        <v>118</v>
      </c>
      <c r="B219" s="30">
        <f t="shared" ref="B219:D219" si="196">B217-B218</f>
        <v>6354</v>
      </c>
      <c r="C219" s="30">
        <f t="shared" si="196"/>
        <v>9005</v>
      </c>
      <c r="D219" s="30">
        <f t="shared" si="196"/>
        <v>6749</v>
      </c>
      <c r="E219" s="30">
        <f t="shared" ref="E219:J219" si="197">E217-E218</f>
        <v>8015</v>
      </c>
      <c r="F219" s="67">
        <f t="shared" si="197"/>
        <v>4905</v>
      </c>
      <c r="G219" s="230">
        <f t="shared" ref="G219" si="198">G217-G218</f>
        <v>65</v>
      </c>
      <c r="H219" s="277">
        <f t="shared" si="197"/>
        <v>65</v>
      </c>
      <c r="I219" s="320">
        <f t="shared" ref="I219" si="199">I217-I218</f>
        <v>65</v>
      </c>
      <c r="J219" s="68">
        <f t="shared" si="197"/>
        <v>65</v>
      </c>
      <c r="K219" s="160">
        <f t="shared" ref="K219" si="200">K217-K218</f>
        <v>8603</v>
      </c>
    </row>
    <row r="220" spans="1:11" x14ac:dyDescent="0.35">
      <c r="A220" s="19"/>
      <c r="B220" s="36"/>
      <c r="C220" s="36"/>
      <c r="D220" s="36"/>
      <c r="E220" s="36"/>
      <c r="F220" s="89"/>
      <c r="G220" s="245"/>
      <c r="H220" s="291"/>
      <c r="I220" s="333"/>
      <c r="J220" s="90"/>
      <c r="K220" s="153"/>
    </row>
    <row r="221" spans="1:11" x14ac:dyDescent="0.35">
      <c r="A221" s="23" t="s">
        <v>119</v>
      </c>
      <c r="B221" s="36">
        <v>5577</v>
      </c>
      <c r="C221" s="36">
        <v>9423</v>
      </c>
      <c r="D221" s="36">
        <v>9516</v>
      </c>
      <c r="E221" s="36">
        <v>7598</v>
      </c>
      <c r="F221" s="89">
        <v>9000</v>
      </c>
      <c r="G221" s="245">
        <v>165</v>
      </c>
      <c r="H221" s="291">
        <v>165</v>
      </c>
      <c r="I221" s="333">
        <v>165</v>
      </c>
      <c r="J221" s="90">
        <v>165</v>
      </c>
      <c r="K221" s="153">
        <v>6008</v>
      </c>
    </row>
    <row r="222" spans="1:11" ht="15" thickBot="1" x14ac:dyDescent="0.4">
      <c r="A222" s="23" t="s">
        <v>120</v>
      </c>
      <c r="B222" s="36">
        <v>1152</v>
      </c>
      <c r="C222" s="36">
        <v>368</v>
      </c>
      <c r="D222" s="36">
        <v>329</v>
      </c>
      <c r="E222" s="36">
        <v>380</v>
      </c>
      <c r="F222" s="89">
        <v>2095</v>
      </c>
      <c r="G222" s="245">
        <v>0</v>
      </c>
      <c r="H222" s="291">
        <v>0</v>
      </c>
      <c r="I222" s="333">
        <v>0</v>
      </c>
      <c r="J222" s="90">
        <v>0</v>
      </c>
      <c r="K222" s="153">
        <v>380</v>
      </c>
    </row>
    <row r="223" spans="1:11" ht="15" thickBot="1" x14ac:dyDescent="0.4">
      <c r="A223" s="15" t="s">
        <v>121</v>
      </c>
      <c r="B223" s="30">
        <f t="shared" ref="B223:D223" si="201">B221-B222</f>
        <v>4425</v>
      </c>
      <c r="C223" s="30">
        <f t="shared" si="201"/>
        <v>9055</v>
      </c>
      <c r="D223" s="30">
        <f t="shared" si="201"/>
        <v>9187</v>
      </c>
      <c r="E223" s="30">
        <f t="shared" ref="E223:J223" si="202">E221-E222</f>
        <v>7218</v>
      </c>
      <c r="F223" s="67">
        <f t="shared" si="202"/>
        <v>6905</v>
      </c>
      <c r="G223" s="230">
        <f t="shared" ref="G223" si="203">G221-G222</f>
        <v>165</v>
      </c>
      <c r="H223" s="277">
        <f t="shared" si="202"/>
        <v>165</v>
      </c>
      <c r="I223" s="320">
        <f t="shared" ref="I223" si="204">I221-I222</f>
        <v>165</v>
      </c>
      <c r="J223" s="68">
        <f t="shared" si="202"/>
        <v>165</v>
      </c>
      <c r="K223" s="160">
        <f t="shared" ref="K223" si="205">K221-K222</f>
        <v>5628</v>
      </c>
    </row>
    <row r="224" spans="1:11" x14ac:dyDescent="0.35">
      <c r="A224" s="15"/>
      <c r="B224" s="71"/>
      <c r="C224" s="71"/>
      <c r="D224" s="71"/>
      <c r="E224" s="71"/>
      <c r="F224" s="96"/>
      <c r="G224" s="248"/>
      <c r="H224" s="294"/>
      <c r="I224" s="336"/>
      <c r="J224" s="97"/>
      <c r="K224" s="166"/>
    </row>
    <row r="225" spans="1:11" x14ac:dyDescent="0.35">
      <c r="A225" s="15" t="s">
        <v>122</v>
      </c>
      <c r="B225" s="71"/>
      <c r="C225" s="71"/>
      <c r="D225" s="71"/>
      <c r="E225" s="71"/>
      <c r="F225" s="96"/>
      <c r="G225" s="248"/>
      <c r="H225" s="294"/>
      <c r="I225" s="336"/>
      <c r="J225" s="97"/>
      <c r="K225" s="166"/>
    </row>
    <row r="226" spans="1:11" x14ac:dyDescent="0.35">
      <c r="A226" s="23" t="s">
        <v>123</v>
      </c>
      <c r="B226" s="36">
        <f t="shared" ref="B226:J227" si="206">SUM(B213,B217,B221)</f>
        <v>12686</v>
      </c>
      <c r="C226" s="36">
        <f t="shared" si="206"/>
        <v>21704</v>
      </c>
      <c r="D226" s="36">
        <f t="shared" si="206"/>
        <v>18658</v>
      </c>
      <c r="E226" s="36">
        <f t="shared" ref="E226" si="207">SUM(E213,E217,E221)</f>
        <v>20999</v>
      </c>
      <c r="F226" s="89">
        <f t="shared" si="206"/>
        <v>18600</v>
      </c>
      <c r="G226" s="245">
        <f t="shared" ref="G226" si="208">SUM(G213, G217, G221)</f>
        <v>933</v>
      </c>
      <c r="H226" s="291">
        <f t="shared" ref="H226:H227" si="209">SUM(H213, H217, H221)</f>
        <v>933</v>
      </c>
      <c r="I226" s="333">
        <f t="shared" ref="I226" si="210">SUM(I213, I217, I221)</f>
        <v>858</v>
      </c>
      <c r="J226" s="90">
        <f t="shared" si="206"/>
        <v>858</v>
      </c>
      <c r="K226" s="153">
        <f t="shared" ref="K226" si="211">SUM(K213,K217,K221)</f>
        <v>19116</v>
      </c>
    </row>
    <row r="227" spans="1:11" x14ac:dyDescent="0.35">
      <c r="A227" s="23" t="s">
        <v>124</v>
      </c>
      <c r="B227" s="36">
        <f t="shared" si="206"/>
        <v>1152</v>
      </c>
      <c r="C227" s="36">
        <f t="shared" si="206"/>
        <v>1132</v>
      </c>
      <c r="D227" s="36">
        <f t="shared" si="206"/>
        <v>880</v>
      </c>
      <c r="E227" s="36">
        <f t="shared" ref="E227" si="212">SUM(E214,E218,E222)</f>
        <v>2566</v>
      </c>
      <c r="F227" s="89">
        <f t="shared" si="206"/>
        <v>6285</v>
      </c>
      <c r="G227" s="245">
        <f t="shared" ref="G227" si="213">SUM(G214, G218, G222)</f>
        <v>118</v>
      </c>
      <c r="H227" s="291">
        <f t="shared" si="209"/>
        <v>118</v>
      </c>
      <c r="I227" s="333">
        <f t="shared" ref="I227" si="214">SUM(I214, I218, I222)</f>
        <v>118</v>
      </c>
      <c r="J227" s="90">
        <f t="shared" si="206"/>
        <v>118</v>
      </c>
      <c r="K227" s="153">
        <f t="shared" ref="K227" si="215">SUM(K214,K218,K222)</f>
        <v>1670</v>
      </c>
    </row>
    <row r="228" spans="1:11" ht="15" thickBot="1" x14ac:dyDescent="0.4">
      <c r="A228" s="23" t="s">
        <v>74</v>
      </c>
      <c r="B228" s="36">
        <v>0</v>
      </c>
      <c r="C228" s="36">
        <v>0</v>
      </c>
      <c r="D228" s="36">
        <v>0</v>
      </c>
      <c r="E228" s="36">
        <v>0</v>
      </c>
      <c r="F228" s="89">
        <v>0</v>
      </c>
      <c r="G228" s="245">
        <v>0</v>
      </c>
      <c r="H228" s="291">
        <v>0</v>
      </c>
      <c r="I228" s="333">
        <v>0</v>
      </c>
      <c r="J228" s="90">
        <v>0</v>
      </c>
      <c r="K228" s="153">
        <v>0</v>
      </c>
    </row>
    <row r="229" spans="1:11" ht="15" thickBot="1" x14ac:dyDescent="0.4">
      <c r="A229" s="15" t="s">
        <v>125</v>
      </c>
      <c r="B229" s="30">
        <f t="shared" ref="B229:K229" si="216">SUM(B226-B227-B228)</f>
        <v>11534</v>
      </c>
      <c r="C229" s="30">
        <f t="shared" si="216"/>
        <v>20572</v>
      </c>
      <c r="D229" s="30">
        <f t="shared" ref="D229:F229" si="217">SUM(D226-D227-D228)</f>
        <v>17778</v>
      </c>
      <c r="E229" s="30">
        <f t="shared" si="217"/>
        <v>18433</v>
      </c>
      <c r="F229" s="67">
        <f t="shared" si="217"/>
        <v>12315</v>
      </c>
      <c r="G229" s="230">
        <f>SUM(G226-G227-G228)</f>
        <v>815</v>
      </c>
      <c r="H229" s="277">
        <f>SUM(H226-H227-H228)</f>
        <v>815</v>
      </c>
      <c r="I229" s="320">
        <f>SUM(I226-I227-I228)</f>
        <v>740</v>
      </c>
      <c r="J229" s="68">
        <f t="shared" si="216"/>
        <v>740</v>
      </c>
      <c r="K229" s="160">
        <f t="shared" si="216"/>
        <v>17446</v>
      </c>
    </row>
    <row r="230" spans="1:11" x14ac:dyDescent="0.35">
      <c r="A230" s="15"/>
      <c r="B230" s="56"/>
      <c r="C230" s="56"/>
      <c r="D230" s="56"/>
      <c r="E230" s="56"/>
      <c r="F230" s="56"/>
      <c r="G230" s="232"/>
      <c r="H230" s="279"/>
      <c r="I230" s="378"/>
      <c r="J230" s="56"/>
      <c r="K230" s="56"/>
    </row>
    <row r="231" spans="1:11" ht="15" thickBot="1" x14ac:dyDescent="0.4">
      <c r="A231" s="28"/>
      <c r="B231" s="88"/>
      <c r="C231" s="88"/>
      <c r="D231" s="88"/>
      <c r="E231" s="88"/>
      <c r="F231" s="88"/>
      <c r="G231" s="244"/>
      <c r="H231" s="279"/>
      <c r="I231" s="376"/>
      <c r="J231" s="88"/>
      <c r="K231" s="88"/>
    </row>
    <row r="232" spans="1:11" x14ac:dyDescent="0.35">
      <c r="A232" s="99" t="s">
        <v>126</v>
      </c>
      <c r="B232" s="4"/>
      <c r="C232" s="5"/>
      <c r="D232" s="5"/>
      <c r="E232" s="169"/>
      <c r="F232" s="6" t="s">
        <v>216</v>
      </c>
      <c r="G232" s="211" t="s">
        <v>238</v>
      </c>
      <c r="H232" s="258" t="s">
        <v>239</v>
      </c>
      <c r="I232" s="303" t="s">
        <v>271</v>
      </c>
      <c r="J232" s="151" t="s">
        <v>281</v>
      </c>
      <c r="K232" s="126" t="s">
        <v>218</v>
      </c>
    </row>
    <row r="233" spans="1:11" x14ac:dyDescent="0.35">
      <c r="A233" s="100"/>
      <c r="B233" s="7" t="s">
        <v>2</v>
      </c>
      <c r="C233" s="8" t="s">
        <v>1</v>
      </c>
      <c r="D233" s="8" t="s">
        <v>1</v>
      </c>
      <c r="E233" s="7" t="s">
        <v>1</v>
      </c>
      <c r="F233" s="9" t="s">
        <v>3</v>
      </c>
      <c r="G233" s="212" t="s">
        <v>235</v>
      </c>
      <c r="H233" s="259" t="s">
        <v>5</v>
      </c>
      <c r="I233" s="304" t="s">
        <v>5</v>
      </c>
      <c r="J233" s="10" t="s">
        <v>4</v>
      </c>
      <c r="K233" s="127" t="s">
        <v>217</v>
      </c>
    </row>
    <row r="234" spans="1:11" ht="15" thickBot="1" x14ac:dyDescent="0.4">
      <c r="A234" s="101"/>
      <c r="B234" s="11" t="s">
        <v>6</v>
      </c>
      <c r="C234" s="12" t="s">
        <v>7</v>
      </c>
      <c r="D234" s="12" t="s">
        <v>8</v>
      </c>
      <c r="E234" s="12" t="s">
        <v>9</v>
      </c>
      <c r="F234" s="13" t="s">
        <v>230</v>
      </c>
      <c r="G234" s="213" t="s">
        <v>240</v>
      </c>
      <c r="H234" s="260" t="s">
        <v>236</v>
      </c>
      <c r="I234" s="305" t="s">
        <v>289</v>
      </c>
      <c r="J234" s="14" t="s">
        <v>231</v>
      </c>
      <c r="K234" s="128" t="s">
        <v>9</v>
      </c>
    </row>
    <row r="235" spans="1:11" x14ac:dyDescent="0.35">
      <c r="A235" s="23" t="s">
        <v>127</v>
      </c>
      <c r="B235" s="82">
        <v>-5714</v>
      </c>
      <c r="C235" s="82">
        <v>-6660</v>
      </c>
      <c r="D235" s="82">
        <v>-7640</v>
      </c>
      <c r="E235" s="82">
        <v>-6685</v>
      </c>
      <c r="F235" s="102">
        <v>-7300</v>
      </c>
      <c r="G235" s="215">
        <v>-7300</v>
      </c>
      <c r="H235" s="262">
        <v>-7300</v>
      </c>
      <c r="I235" s="307">
        <v>-7500</v>
      </c>
      <c r="J235" s="103">
        <v>-5905</v>
      </c>
      <c r="K235" s="152">
        <v>-5828</v>
      </c>
    </row>
    <row r="236" spans="1:11" x14ac:dyDescent="0.35">
      <c r="A236" s="23" t="s">
        <v>128</v>
      </c>
      <c r="B236" s="36">
        <v>-812</v>
      </c>
      <c r="C236" s="36">
        <v>-964</v>
      </c>
      <c r="D236" s="36">
        <v>-1167</v>
      </c>
      <c r="E236" s="36">
        <v>-1271</v>
      </c>
      <c r="F236" s="89">
        <v>-1300</v>
      </c>
      <c r="G236" s="245">
        <v>-1300</v>
      </c>
      <c r="H236" s="291">
        <v>-1300</v>
      </c>
      <c r="I236" s="333">
        <v>-1300</v>
      </c>
      <c r="J236" s="90">
        <v>-790</v>
      </c>
      <c r="K236" s="153">
        <v>-1067</v>
      </c>
    </row>
    <row r="237" spans="1:11" x14ac:dyDescent="0.35">
      <c r="A237" s="104" t="s">
        <v>129</v>
      </c>
      <c r="B237" s="36">
        <v>-3000</v>
      </c>
      <c r="C237" s="36">
        <v>-3000</v>
      </c>
      <c r="D237" s="36">
        <v>-3000</v>
      </c>
      <c r="E237" s="36">
        <v>-3000</v>
      </c>
      <c r="F237" s="89">
        <v>-3200</v>
      </c>
      <c r="G237" s="245">
        <v>-3000</v>
      </c>
      <c r="H237" s="291">
        <v>-2000</v>
      </c>
      <c r="I237" s="333">
        <v>-3200</v>
      </c>
      <c r="J237" s="90">
        <v>-3047</v>
      </c>
      <c r="K237" s="153">
        <v>-2750</v>
      </c>
    </row>
    <row r="238" spans="1:11" x14ac:dyDescent="0.35">
      <c r="A238" s="23" t="s">
        <v>130</v>
      </c>
      <c r="B238" s="36">
        <v>-405</v>
      </c>
      <c r="C238" s="36">
        <v>-370</v>
      </c>
      <c r="D238" s="36">
        <v>0</v>
      </c>
      <c r="E238" s="36">
        <v>0</v>
      </c>
      <c r="F238" s="89">
        <v>0</v>
      </c>
      <c r="G238" s="245">
        <v>0</v>
      </c>
      <c r="H238" s="291">
        <v>0</v>
      </c>
      <c r="I238" s="333">
        <v>0</v>
      </c>
      <c r="J238" s="90">
        <v>0</v>
      </c>
      <c r="K238" s="153">
        <v>0</v>
      </c>
    </row>
    <row r="239" spans="1:11" x14ac:dyDescent="0.35">
      <c r="A239" s="23" t="s">
        <v>131</v>
      </c>
      <c r="B239" s="36">
        <v>-4546</v>
      </c>
      <c r="C239" s="36">
        <v>-3932</v>
      </c>
      <c r="D239" s="36">
        <v>-3927</v>
      </c>
      <c r="E239" s="36">
        <v>-4109</v>
      </c>
      <c r="F239" s="89">
        <v>-4000</v>
      </c>
      <c r="G239" s="245">
        <v>-4000</v>
      </c>
      <c r="H239" s="291">
        <v>-3000</v>
      </c>
      <c r="I239" s="333">
        <v>-4000</v>
      </c>
      <c r="J239" s="90">
        <v>-2914</v>
      </c>
      <c r="K239" s="153">
        <v>-2941</v>
      </c>
    </row>
    <row r="240" spans="1:11" x14ac:dyDescent="0.35">
      <c r="A240" s="19" t="s">
        <v>132</v>
      </c>
      <c r="B240" s="36">
        <v>-1851</v>
      </c>
      <c r="C240" s="36">
        <v>-1489</v>
      </c>
      <c r="D240" s="36">
        <v>-2599</v>
      </c>
      <c r="E240" s="36">
        <v>-1719</v>
      </c>
      <c r="F240" s="89">
        <v>-2000</v>
      </c>
      <c r="G240" s="245">
        <v>-2000</v>
      </c>
      <c r="H240" s="291">
        <v>-2000</v>
      </c>
      <c r="I240" s="333">
        <v>-2200</v>
      </c>
      <c r="J240" s="90">
        <v>-2061</v>
      </c>
      <c r="K240" s="153">
        <v>-1447</v>
      </c>
    </row>
    <row r="241" spans="1:11" x14ac:dyDescent="0.35">
      <c r="A241" s="19" t="s">
        <v>133</v>
      </c>
      <c r="B241" s="36">
        <v>-3478</v>
      </c>
      <c r="C241" s="36">
        <v>-1503</v>
      </c>
      <c r="D241" s="36">
        <v>-2830</v>
      </c>
      <c r="E241" s="36">
        <v>-2061</v>
      </c>
      <c r="F241" s="89">
        <v>-2500</v>
      </c>
      <c r="G241" s="245">
        <v>-800</v>
      </c>
      <c r="H241" s="291">
        <v>-500</v>
      </c>
      <c r="I241" s="333">
        <v>-1000</v>
      </c>
      <c r="J241" s="90">
        <v>-475</v>
      </c>
      <c r="K241" s="153">
        <v>-1481</v>
      </c>
    </row>
    <row r="242" spans="1:11" x14ac:dyDescent="0.35">
      <c r="A242" s="19" t="s">
        <v>134</v>
      </c>
      <c r="B242" s="36">
        <v>-2019</v>
      </c>
      <c r="C242" s="36">
        <v>-6735</v>
      </c>
      <c r="D242" s="36">
        <v>-7779</v>
      </c>
      <c r="E242" s="36">
        <v>-2115</v>
      </c>
      <c r="F242" s="89">
        <v>-4000</v>
      </c>
      <c r="G242" s="245">
        <v>-200</v>
      </c>
      <c r="H242" s="291">
        <v>0</v>
      </c>
      <c r="I242" s="333">
        <v>-3000</v>
      </c>
      <c r="J242" s="90">
        <v>-1796</v>
      </c>
      <c r="K242" s="153">
        <v>-1056</v>
      </c>
    </row>
    <row r="243" spans="1:11" x14ac:dyDescent="0.35">
      <c r="A243" s="23" t="s">
        <v>135</v>
      </c>
      <c r="B243" s="36">
        <v>-3415</v>
      </c>
      <c r="C243" s="36">
        <v>-4171</v>
      </c>
      <c r="D243" s="36">
        <v>-4640</v>
      </c>
      <c r="E243" s="36">
        <v>-2586</v>
      </c>
      <c r="F243" s="89">
        <v>-2000</v>
      </c>
      <c r="G243" s="245">
        <v>-500</v>
      </c>
      <c r="H243" s="291">
        <v>0</v>
      </c>
      <c r="I243" s="333">
        <v>-700</v>
      </c>
      <c r="J243" s="90">
        <v>-501</v>
      </c>
      <c r="K243" s="153">
        <v>-855</v>
      </c>
    </row>
    <row r="244" spans="1:11" x14ac:dyDescent="0.35">
      <c r="A244" s="19" t="s">
        <v>136</v>
      </c>
      <c r="B244" s="36">
        <v>-742</v>
      </c>
      <c r="C244" s="36">
        <v>-1109</v>
      </c>
      <c r="D244" s="36">
        <v>-2150</v>
      </c>
      <c r="E244" s="36">
        <v>-1428</v>
      </c>
      <c r="F244" s="89">
        <v>-2000</v>
      </c>
      <c r="G244" s="245">
        <v>-2000</v>
      </c>
      <c r="H244" s="291">
        <v>-1500</v>
      </c>
      <c r="I244" s="333">
        <v>-1800</v>
      </c>
      <c r="J244" s="90">
        <v>-1561</v>
      </c>
      <c r="K244" s="153">
        <v>-1054</v>
      </c>
    </row>
    <row r="245" spans="1:11" ht="15" thickBot="1" x14ac:dyDescent="0.4">
      <c r="A245" s="19" t="s">
        <v>137</v>
      </c>
      <c r="B245" s="36">
        <v>-21382</v>
      </c>
      <c r="C245" s="36">
        <v>-16746</v>
      </c>
      <c r="D245" s="36">
        <v>-21772</v>
      </c>
      <c r="E245" s="36">
        <v>-30881</v>
      </c>
      <c r="F245" s="89">
        <v>-30000</v>
      </c>
      <c r="G245" s="245">
        <v>0</v>
      </c>
      <c r="H245" s="291">
        <v>0</v>
      </c>
      <c r="I245" s="333">
        <v>-1008</v>
      </c>
      <c r="J245" s="90">
        <v>-1008</v>
      </c>
      <c r="K245" s="153">
        <v>-23789</v>
      </c>
    </row>
    <row r="246" spans="1:11" ht="15" thickBot="1" x14ac:dyDescent="0.4">
      <c r="A246" s="105" t="s">
        <v>138</v>
      </c>
      <c r="B246" s="41">
        <f t="shared" ref="B246:C246" si="218">SUM(B235:B245)</f>
        <v>-47364</v>
      </c>
      <c r="C246" s="41">
        <f t="shared" si="218"/>
        <v>-46679</v>
      </c>
      <c r="D246" s="41">
        <f t="shared" ref="D246" si="219">SUM(D235:D245)</f>
        <v>-57504</v>
      </c>
      <c r="E246" s="41">
        <f t="shared" ref="E246:J246" si="220">SUM(E235:E245)</f>
        <v>-55855</v>
      </c>
      <c r="F246" s="106">
        <f t="shared" si="220"/>
        <v>-58300</v>
      </c>
      <c r="G246" s="251">
        <f>SUM(G235:G245)</f>
        <v>-21100</v>
      </c>
      <c r="H246" s="297">
        <f t="shared" si="220"/>
        <v>-17600</v>
      </c>
      <c r="I246" s="338">
        <f>SUM(I235:I245)</f>
        <v>-25708</v>
      </c>
      <c r="J246" s="107">
        <f t="shared" si="220"/>
        <v>-20058</v>
      </c>
      <c r="K246" s="154">
        <f t="shared" ref="K246" si="221">SUM(K235:K245)</f>
        <v>-42268</v>
      </c>
    </row>
    <row r="247" spans="1:11" x14ac:dyDescent="0.35">
      <c r="A247" s="108"/>
      <c r="B247" s="51"/>
      <c r="C247" s="51"/>
      <c r="D247" s="51"/>
      <c r="E247" s="51"/>
      <c r="F247" s="51"/>
      <c r="G247" s="228"/>
      <c r="H247" s="275"/>
      <c r="I247" s="373"/>
      <c r="J247" s="51"/>
      <c r="K247" s="51"/>
    </row>
    <row r="248" spans="1:11" x14ac:dyDescent="0.35">
      <c r="A248" s="19"/>
      <c r="B248" s="85"/>
      <c r="C248" s="85"/>
      <c r="D248" s="85"/>
      <c r="E248" s="85"/>
      <c r="F248" s="85"/>
      <c r="G248" s="252"/>
      <c r="H248" s="276"/>
      <c r="I248" s="379"/>
      <c r="J248" s="85"/>
      <c r="K248" s="85"/>
    </row>
    <row r="249" spans="1:11" ht="15" thickBot="1" x14ac:dyDescent="0.4">
      <c r="A249" s="15" t="s">
        <v>139</v>
      </c>
      <c r="B249" s="1"/>
      <c r="C249" s="1"/>
      <c r="D249" s="1"/>
      <c r="E249" s="1"/>
      <c r="F249" s="1"/>
      <c r="G249" s="229"/>
      <c r="H249" s="276"/>
      <c r="I249" s="374"/>
      <c r="J249" s="1"/>
      <c r="K249" s="1"/>
    </row>
    <row r="250" spans="1:11" ht="15" thickTop="1" x14ac:dyDescent="0.35">
      <c r="A250" s="109"/>
      <c r="B250" s="4"/>
      <c r="C250" s="5"/>
      <c r="D250" s="5"/>
      <c r="E250" s="169"/>
      <c r="F250" s="6" t="s">
        <v>216</v>
      </c>
      <c r="G250" s="211" t="s">
        <v>238</v>
      </c>
      <c r="H250" s="258" t="s">
        <v>239</v>
      </c>
      <c r="I250" s="303" t="s">
        <v>271</v>
      </c>
      <c r="J250" s="151" t="s">
        <v>281</v>
      </c>
      <c r="K250" s="126" t="s">
        <v>218</v>
      </c>
    </row>
    <row r="251" spans="1:11" x14ac:dyDescent="0.35">
      <c r="A251" s="34"/>
      <c r="B251" s="7" t="s">
        <v>2</v>
      </c>
      <c r="C251" s="8" t="s">
        <v>1</v>
      </c>
      <c r="D251" s="8" t="s">
        <v>1</v>
      </c>
      <c r="E251" s="7" t="s">
        <v>1</v>
      </c>
      <c r="F251" s="9" t="s">
        <v>3</v>
      </c>
      <c r="G251" s="212" t="s">
        <v>235</v>
      </c>
      <c r="H251" s="259" t="s">
        <v>5</v>
      </c>
      <c r="I251" s="304" t="s">
        <v>5</v>
      </c>
      <c r="J251" s="10" t="s">
        <v>4</v>
      </c>
      <c r="K251" s="127" t="s">
        <v>217</v>
      </c>
    </row>
    <row r="252" spans="1:11" ht="15" thickBot="1" x14ac:dyDescent="0.4">
      <c r="A252" s="101"/>
      <c r="B252" s="11" t="s">
        <v>6</v>
      </c>
      <c r="C252" s="12" t="s">
        <v>7</v>
      </c>
      <c r="D252" s="12" t="s">
        <v>8</v>
      </c>
      <c r="E252" s="12" t="s">
        <v>9</v>
      </c>
      <c r="F252" s="13" t="s">
        <v>230</v>
      </c>
      <c r="G252" s="213" t="s">
        <v>240</v>
      </c>
      <c r="H252" s="260" t="s">
        <v>236</v>
      </c>
      <c r="I252" s="305" t="s">
        <v>289</v>
      </c>
      <c r="J252" s="14" t="s">
        <v>231</v>
      </c>
      <c r="K252" s="128" t="s">
        <v>9</v>
      </c>
    </row>
    <row r="253" spans="1:11" x14ac:dyDescent="0.35">
      <c r="A253" s="23" t="s">
        <v>228</v>
      </c>
      <c r="B253" s="36">
        <v>-4872</v>
      </c>
      <c r="C253" s="36">
        <v>-4489</v>
      </c>
      <c r="D253" s="36">
        <v>-4101</v>
      </c>
      <c r="E253" s="36">
        <v>-6124</v>
      </c>
      <c r="F253" s="89">
        <v>-6000</v>
      </c>
      <c r="G253" s="215">
        <v>-6000</v>
      </c>
      <c r="H253" s="262">
        <v>-4000</v>
      </c>
      <c r="I253" s="307">
        <v>-6000</v>
      </c>
      <c r="J253" s="90">
        <v>-4482</v>
      </c>
      <c r="K253" s="153">
        <v>-4197</v>
      </c>
    </row>
    <row r="254" spans="1:11" x14ac:dyDescent="0.35">
      <c r="A254" s="23" t="s">
        <v>140</v>
      </c>
      <c r="B254" s="36">
        <v>-8850</v>
      </c>
      <c r="C254" s="36">
        <v>-9300</v>
      </c>
      <c r="D254" s="36">
        <v>-9900</v>
      </c>
      <c r="E254" s="36">
        <v>-10300</v>
      </c>
      <c r="F254" s="89">
        <v>-11000</v>
      </c>
      <c r="G254" s="245">
        <v>-11000</v>
      </c>
      <c r="H254" s="291">
        <v>-11000</v>
      </c>
      <c r="I254" s="333">
        <v>-11000</v>
      </c>
      <c r="J254" s="90">
        <v>-11000</v>
      </c>
      <c r="K254" s="153">
        <v>-10300</v>
      </c>
    </row>
    <row r="255" spans="1:11" x14ac:dyDescent="0.35">
      <c r="A255" s="23" t="s">
        <v>141</v>
      </c>
      <c r="B255" s="36">
        <v>-3103</v>
      </c>
      <c r="C255" s="36">
        <v>-2549</v>
      </c>
      <c r="D255" s="36">
        <v>-2329</v>
      </c>
      <c r="E255" s="36">
        <v>-1694</v>
      </c>
      <c r="F255" s="89">
        <v>-1600</v>
      </c>
      <c r="G255" s="245">
        <v>-1000</v>
      </c>
      <c r="H255" s="291">
        <v>-500</v>
      </c>
      <c r="I255" s="333">
        <v>-250</v>
      </c>
      <c r="J255" s="90">
        <v>-196</v>
      </c>
      <c r="K255" s="153">
        <v>-1424</v>
      </c>
    </row>
    <row r="256" spans="1:11" x14ac:dyDescent="0.35">
      <c r="A256" s="104" t="s">
        <v>142</v>
      </c>
      <c r="B256" s="36">
        <v>-718</v>
      </c>
      <c r="C256" s="36">
        <v>-669</v>
      </c>
      <c r="D256" s="36">
        <v>-837</v>
      </c>
      <c r="E256" s="36">
        <v>-976</v>
      </c>
      <c r="F256" s="89">
        <v>-1000</v>
      </c>
      <c r="G256" s="245">
        <v>-1000</v>
      </c>
      <c r="H256" s="291">
        <v>-1000</v>
      </c>
      <c r="I256" s="333">
        <v>-1100</v>
      </c>
      <c r="J256" s="90">
        <v>-855</v>
      </c>
      <c r="K256" s="153">
        <v>-824</v>
      </c>
    </row>
    <row r="257" spans="1:11" x14ac:dyDescent="0.35">
      <c r="A257" s="23" t="s">
        <v>143</v>
      </c>
      <c r="B257" s="36">
        <v>-5095</v>
      </c>
      <c r="C257" s="36">
        <v>-7102</v>
      </c>
      <c r="D257" s="36">
        <v>-7703</v>
      </c>
      <c r="E257" s="36">
        <v>-7650</v>
      </c>
      <c r="F257" s="89">
        <v>-7700</v>
      </c>
      <c r="G257" s="245">
        <v>-7700</v>
      </c>
      <c r="H257" s="291">
        <v>-4900</v>
      </c>
      <c r="I257" s="333">
        <v>-8000</v>
      </c>
      <c r="J257" s="90">
        <v>-6612</v>
      </c>
      <c r="K257" s="153">
        <v>-5719</v>
      </c>
    </row>
    <row r="258" spans="1:11" x14ac:dyDescent="0.35">
      <c r="A258" s="23" t="s">
        <v>144</v>
      </c>
      <c r="B258" s="36">
        <v>-1374</v>
      </c>
      <c r="C258" s="36">
        <v>-1599</v>
      </c>
      <c r="D258" s="36">
        <v>-11134</v>
      </c>
      <c r="E258" s="36">
        <v>-48744</v>
      </c>
      <c r="F258" s="89">
        <v>-52000</v>
      </c>
      <c r="G258" s="245">
        <v>-18000</v>
      </c>
      <c r="H258" s="291">
        <v>-15000</v>
      </c>
      <c r="I258" s="333">
        <v>-28000</v>
      </c>
      <c r="J258" s="90">
        <v>-24785</v>
      </c>
      <c r="K258" s="153">
        <v>-31901</v>
      </c>
    </row>
    <row r="259" spans="1:11" x14ac:dyDescent="0.35">
      <c r="A259" s="23" t="s">
        <v>145</v>
      </c>
      <c r="B259" s="36">
        <v>-24025</v>
      </c>
      <c r="C259" s="36">
        <v>-24268</v>
      </c>
      <c r="D259" s="36">
        <v>-26936</v>
      </c>
      <c r="E259" s="36">
        <v>0</v>
      </c>
      <c r="F259" s="89">
        <v>0</v>
      </c>
      <c r="G259" s="245">
        <v>0</v>
      </c>
      <c r="H259" s="291">
        <v>0</v>
      </c>
      <c r="I259" s="333">
        <v>0</v>
      </c>
      <c r="J259" s="90">
        <v>0</v>
      </c>
      <c r="K259" s="153">
        <v>0</v>
      </c>
    </row>
    <row r="260" spans="1:11" x14ac:dyDescent="0.35">
      <c r="A260" s="23" t="s">
        <v>146</v>
      </c>
      <c r="B260" s="36">
        <v>-2664</v>
      </c>
      <c r="C260" s="36">
        <v>-4187</v>
      </c>
      <c r="D260" s="36">
        <v>-3368</v>
      </c>
      <c r="E260" s="36">
        <v>-4110</v>
      </c>
      <c r="F260" s="89">
        <v>-4000</v>
      </c>
      <c r="G260" s="245">
        <v>0</v>
      </c>
      <c r="H260" s="291">
        <v>0</v>
      </c>
      <c r="I260" s="333">
        <v>0</v>
      </c>
      <c r="J260" s="90">
        <v>0</v>
      </c>
      <c r="K260" s="153">
        <v>-3374</v>
      </c>
    </row>
    <row r="261" spans="1:11" x14ac:dyDescent="0.35">
      <c r="A261" s="23" t="s">
        <v>147</v>
      </c>
      <c r="B261" s="36">
        <v>-724</v>
      </c>
      <c r="C261" s="36">
        <v>-847</v>
      </c>
      <c r="D261" s="36">
        <v>-980</v>
      </c>
      <c r="E261" s="36">
        <v>-1327</v>
      </c>
      <c r="F261" s="89">
        <v>-1200</v>
      </c>
      <c r="G261" s="245">
        <v>-200</v>
      </c>
      <c r="H261" s="291">
        <v>0</v>
      </c>
      <c r="I261" s="333">
        <v>-430</v>
      </c>
      <c r="J261" s="90">
        <v>-360</v>
      </c>
      <c r="K261" s="153">
        <v>-1184</v>
      </c>
    </row>
    <row r="262" spans="1:11" x14ac:dyDescent="0.35">
      <c r="A262" s="23" t="s">
        <v>148</v>
      </c>
      <c r="B262" s="36">
        <v>-6406</v>
      </c>
      <c r="C262" s="36">
        <v>-3332</v>
      </c>
      <c r="D262" s="36">
        <v>-5256</v>
      </c>
      <c r="E262" s="36">
        <v>-3955</v>
      </c>
      <c r="F262" s="89">
        <v>-3750</v>
      </c>
      <c r="G262" s="245">
        <v>-1000</v>
      </c>
      <c r="H262" s="291">
        <v>-500</v>
      </c>
      <c r="I262" s="333">
        <v>-500</v>
      </c>
      <c r="J262" s="90">
        <v>-197</v>
      </c>
      <c r="K262" s="153">
        <v>-3417</v>
      </c>
    </row>
    <row r="263" spans="1:11" x14ac:dyDescent="0.35">
      <c r="A263" s="23" t="s">
        <v>149</v>
      </c>
      <c r="B263" s="36">
        <v>-23588</v>
      </c>
      <c r="C263" s="36">
        <v>-24354</v>
      </c>
      <c r="D263" s="36">
        <v>-23453</v>
      </c>
      <c r="E263" s="36">
        <v>-27399</v>
      </c>
      <c r="F263" s="89">
        <v>-27000</v>
      </c>
      <c r="G263" s="245">
        <v>-11000</v>
      </c>
      <c r="H263" s="291">
        <v>-10000</v>
      </c>
      <c r="I263" s="333">
        <v>-24000</v>
      </c>
      <c r="J263" s="90">
        <v>-18781</v>
      </c>
      <c r="K263" s="153">
        <v>-23361</v>
      </c>
    </row>
    <row r="264" spans="1:11" x14ac:dyDescent="0.35">
      <c r="A264" s="23" t="s">
        <v>150</v>
      </c>
      <c r="B264" s="36">
        <v>-8028</v>
      </c>
      <c r="C264" s="36">
        <v>-6803</v>
      </c>
      <c r="D264" s="36">
        <v>-6890</v>
      </c>
      <c r="E264" s="36">
        <v>-3835</v>
      </c>
      <c r="F264" s="89">
        <v>-6200</v>
      </c>
      <c r="G264" s="245">
        <v>-2000</v>
      </c>
      <c r="H264" s="291">
        <v>-1500</v>
      </c>
      <c r="I264" s="333">
        <v>-1800</v>
      </c>
      <c r="J264" s="90">
        <v>-1175</v>
      </c>
      <c r="K264" s="153">
        <v>-2919</v>
      </c>
    </row>
    <row r="265" spans="1:11" x14ac:dyDescent="0.35">
      <c r="A265" s="23" t="s">
        <v>151</v>
      </c>
      <c r="B265" s="36">
        <v>-2450</v>
      </c>
      <c r="C265" s="36">
        <v>-7850</v>
      </c>
      <c r="D265" s="36">
        <v>-7125</v>
      </c>
      <c r="E265" s="36">
        <v>-2950</v>
      </c>
      <c r="F265" s="89">
        <v>-3000</v>
      </c>
      <c r="G265" s="245">
        <v>-2000</v>
      </c>
      <c r="H265" s="291">
        <v>-2000</v>
      </c>
      <c r="I265" s="333">
        <v>-2500</v>
      </c>
      <c r="J265" s="90">
        <v>-2575</v>
      </c>
      <c r="K265" s="153">
        <v>-2950</v>
      </c>
    </row>
    <row r="266" spans="1:11" x14ac:dyDescent="0.35">
      <c r="A266" s="23" t="s">
        <v>152</v>
      </c>
      <c r="B266" s="36">
        <v>-11382</v>
      </c>
      <c r="C266" s="36">
        <v>-7085</v>
      </c>
      <c r="D266" s="36">
        <v>-9270</v>
      </c>
      <c r="E266" s="36">
        <v>-9618</v>
      </c>
      <c r="F266" s="89">
        <v>-12000</v>
      </c>
      <c r="G266" s="245">
        <v>-4000</v>
      </c>
      <c r="H266" s="291">
        <v>-4000</v>
      </c>
      <c r="I266" s="333">
        <v>-5000</v>
      </c>
      <c r="J266" s="90">
        <v>-3134</v>
      </c>
      <c r="K266" s="153">
        <v>-3651</v>
      </c>
    </row>
    <row r="267" spans="1:11" x14ac:dyDescent="0.35">
      <c r="A267" s="23" t="s">
        <v>153</v>
      </c>
      <c r="B267" s="36">
        <v>-6989</v>
      </c>
      <c r="C267" s="36">
        <v>-8998</v>
      </c>
      <c r="D267" s="36">
        <v>-6303</v>
      </c>
      <c r="E267" s="36">
        <v>-6267</v>
      </c>
      <c r="F267" s="89">
        <v>-4000</v>
      </c>
      <c r="G267" s="245">
        <v>-1100</v>
      </c>
      <c r="H267" s="291">
        <v>-1100</v>
      </c>
      <c r="I267" s="333">
        <v>-1500</v>
      </c>
      <c r="J267" s="90">
        <v>-1365</v>
      </c>
      <c r="K267" s="153">
        <v>-6058</v>
      </c>
    </row>
    <row r="268" spans="1:11" x14ac:dyDescent="0.35">
      <c r="A268" s="23" t="s">
        <v>154</v>
      </c>
      <c r="B268" s="36">
        <v>0</v>
      </c>
      <c r="C268" s="36">
        <v>0</v>
      </c>
      <c r="D268" s="36">
        <v>-42500</v>
      </c>
      <c r="E268" s="36">
        <v>-17793</v>
      </c>
      <c r="F268" s="89">
        <v>-17448</v>
      </c>
      <c r="G268" s="245">
        <v>-17448</v>
      </c>
      <c r="H268" s="291">
        <v>-17448</v>
      </c>
      <c r="I268" s="333">
        <v>-17448</v>
      </c>
      <c r="J268" s="90">
        <v>-17448</v>
      </c>
      <c r="K268" s="153">
        <v>-17793</v>
      </c>
    </row>
    <row r="269" spans="1:11" x14ac:dyDescent="0.35">
      <c r="A269" s="23" t="s">
        <v>155</v>
      </c>
      <c r="B269" s="36">
        <v>0</v>
      </c>
      <c r="C269" s="36"/>
      <c r="D269" s="36">
        <v>0</v>
      </c>
      <c r="E269" s="36">
        <v>0</v>
      </c>
      <c r="F269" s="89">
        <v>0</v>
      </c>
      <c r="G269" s="245">
        <v>0</v>
      </c>
      <c r="H269" s="291">
        <v>0</v>
      </c>
      <c r="I269" s="333">
        <v>0</v>
      </c>
      <c r="J269" s="90">
        <v>0</v>
      </c>
      <c r="K269" s="153">
        <v>0</v>
      </c>
    </row>
    <row r="270" spans="1:11" x14ac:dyDescent="0.35">
      <c r="A270" s="23" t="s">
        <v>156</v>
      </c>
      <c r="B270" s="36">
        <v>-13115</v>
      </c>
      <c r="C270" s="36">
        <v>-15725</v>
      </c>
      <c r="D270" s="36">
        <v>-19738</v>
      </c>
      <c r="E270" s="36">
        <v>-16901</v>
      </c>
      <c r="F270" s="89">
        <v>-16000</v>
      </c>
      <c r="G270" s="245">
        <v>-11000</v>
      </c>
      <c r="H270" s="291">
        <v>-10000</v>
      </c>
      <c r="I270" s="333">
        <v>-14951</v>
      </c>
      <c r="J270" s="90">
        <v>-14951</v>
      </c>
      <c r="K270" s="153">
        <v>-16809</v>
      </c>
    </row>
    <row r="271" spans="1:11" x14ac:dyDescent="0.35">
      <c r="A271" s="23" t="s">
        <v>157</v>
      </c>
      <c r="B271" s="36">
        <v>0</v>
      </c>
      <c r="C271" s="36">
        <v>0</v>
      </c>
      <c r="D271" s="36">
        <v>0</v>
      </c>
      <c r="E271" s="36">
        <v>-1069</v>
      </c>
      <c r="F271" s="89">
        <v>0</v>
      </c>
      <c r="G271" s="245">
        <v>-57420</v>
      </c>
      <c r="H271" s="291">
        <v>-57420</v>
      </c>
      <c r="I271" s="333">
        <v>-17200</v>
      </c>
      <c r="J271" s="90">
        <v>-6330</v>
      </c>
      <c r="K271" s="153">
        <v>-1069</v>
      </c>
    </row>
    <row r="272" spans="1:11" x14ac:dyDescent="0.35">
      <c r="A272" s="23" t="s">
        <v>233</v>
      </c>
      <c r="B272" s="36"/>
      <c r="C272" s="36"/>
      <c r="D272" s="36"/>
      <c r="E272" s="36"/>
      <c r="F272" s="89">
        <v>-1000</v>
      </c>
      <c r="G272" s="245">
        <v>0</v>
      </c>
      <c r="H272" s="291">
        <v>0</v>
      </c>
      <c r="I272" s="333">
        <v>0</v>
      </c>
      <c r="J272" s="90">
        <v>0</v>
      </c>
      <c r="K272" s="153">
        <v>0</v>
      </c>
    </row>
    <row r="273" spans="1:11" x14ac:dyDescent="0.35">
      <c r="A273" s="19" t="s">
        <v>158</v>
      </c>
      <c r="B273" s="36">
        <v>-349746</v>
      </c>
      <c r="C273" s="36">
        <v>-373258</v>
      </c>
      <c r="D273" s="36">
        <v>-393563</v>
      </c>
      <c r="E273" s="36">
        <v>-358105</v>
      </c>
      <c r="F273" s="89">
        <v>-347810</v>
      </c>
      <c r="G273" s="245">
        <v>-210000</v>
      </c>
      <c r="H273" s="291">
        <v>-190489</v>
      </c>
      <c r="I273" s="333">
        <v>-278818</v>
      </c>
      <c r="J273" s="90">
        <v>-246818</v>
      </c>
      <c r="K273" s="153">
        <v>-278564</v>
      </c>
    </row>
    <row r="274" spans="1:11" x14ac:dyDescent="0.35">
      <c r="A274" s="23" t="s">
        <v>159</v>
      </c>
      <c r="B274" s="36">
        <v>-85869</v>
      </c>
      <c r="C274" s="36">
        <v>-91349</v>
      </c>
      <c r="D274" s="36">
        <v>-87612</v>
      </c>
      <c r="E274" s="36">
        <v>-83166</v>
      </c>
      <c r="F274" s="89">
        <v>-78300</v>
      </c>
      <c r="G274" s="245">
        <v>-33445</v>
      </c>
      <c r="H274" s="291">
        <v>-33445</v>
      </c>
      <c r="I274" s="333">
        <v>-52283</v>
      </c>
      <c r="J274" s="90">
        <v>-45755</v>
      </c>
      <c r="K274" s="153">
        <v>-68810</v>
      </c>
    </row>
    <row r="275" spans="1:11" x14ac:dyDescent="0.35">
      <c r="A275" s="23" t="s">
        <v>160</v>
      </c>
      <c r="B275" s="36">
        <v>-5110</v>
      </c>
      <c r="C275" s="36">
        <v>-3900</v>
      </c>
      <c r="D275" s="36">
        <v>-1749</v>
      </c>
      <c r="E275" s="36">
        <v>-3510</v>
      </c>
      <c r="F275" s="89">
        <v>-3000</v>
      </c>
      <c r="G275" s="245">
        <v>0</v>
      </c>
      <c r="H275" s="291">
        <v>0</v>
      </c>
      <c r="I275" s="333">
        <v>-613</v>
      </c>
      <c r="J275" s="90">
        <v>-613</v>
      </c>
      <c r="K275" s="153">
        <v>-2263</v>
      </c>
    </row>
    <row r="276" spans="1:11" x14ac:dyDescent="0.35">
      <c r="A276" s="23" t="s">
        <v>161</v>
      </c>
      <c r="B276" s="36">
        <v>-39219</v>
      </c>
      <c r="C276" s="36">
        <v>-42321</v>
      </c>
      <c r="D276" s="36">
        <v>-41489</v>
      </c>
      <c r="E276" s="36">
        <v>-38917</v>
      </c>
      <c r="F276" s="89">
        <v>-37596</v>
      </c>
      <c r="G276" s="245">
        <v>-13000</v>
      </c>
      <c r="H276" s="291">
        <v>-13000</v>
      </c>
      <c r="I276" s="333">
        <v>-12612</v>
      </c>
      <c r="J276" s="90">
        <v>-12612</v>
      </c>
      <c r="K276" s="153">
        <v>-31459</v>
      </c>
    </row>
    <row r="277" spans="1:11" x14ac:dyDescent="0.35">
      <c r="A277" s="19" t="s">
        <v>162</v>
      </c>
      <c r="B277" s="36">
        <v>-450</v>
      </c>
      <c r="C277" s="36">
        <v>-378</v>
      </c>
      <c r="D277" s="36">
        <v>-271</v>
      </c>
      <c r="E277" s="36">
        <v>-270</v>
      </c>
      <c r="F277" s="89">
        <v>-300</v>
      </c>
      <c r="G277" s="245">
        <v>0</v>
      </c>
      <c r="H277" s="291">
        <v>0</v>
      </c>
      <c r="I277" s="333">
        <v>0</v>
      </c>
      <c r="J277" s="90">
        <v>0</v>
      </c>
      <c r="K277" s="153">
        <v>-270</v>
      </c>
    </row>
    <row r="278" spans="1:11" ht="15" thickBot="1" x14ac:dyDescent="0.4">
      <c r="A278" s="3" t="s">
        <v>163</v>
      </c>
      <c r="B278" s="110">
        <f t="shared" ref="B278:D278" si="222">SUM(B253:B277)</f>
        <v>-603777</v>
      </c>
      <c r="C278" s="110">
        <f t="shared" si="222"/>
        <v>-640363</v>
      </c>
      <c r="D278" s="110">
        <f t="shared" si="222"/>
        <v>-712507</v>
      </c>
      <c r="E278" s="110">
        <f t="shared" ref="E278:J278" si="223">SUM(E253:E277)</f>
        <v>-654680</v>
      </c>
      <c r="F278" s="111">
        <f t="shared" si="223"/>
        <v>-641904</v>
      </c>
      <c r="G278" s="253">
        <f>SUM(G253:G277)</f>
        <v>-408313</v>
      </c>
      <c r="H278" s="298">
        <f t="shared" si="223"/>
        <v>-377302</v>
      </c>
      <c r="I278" s="339">
        <f t="shared" ref="I278" si="224">SUM(I253:I277)</f>
        <v>-484005</v>
      </c>
      <c r="J278" s="112">
        <f t="shared" si="223"/>
        <v>-420044</v>
      </c>
      <c r="K278" s="155">
        <f t="shared" ref="K278" si="225">SUM(K253:K277)</f>
        <v>-518316</v>
      </c>
    </row>
    <row r="279" spans="1:11" x14ac:dyDescent="0.35">
      <c r="A279" s="15"/>
      <c r="B279" s="85"/>
      <c r="C279" s="85"/>
      <c r="D279" s="85"/>
      <c r="E279" s="85"/>
      <c r="F279" s="85"/>
      <c r="G279" s="252"/>
      <c r="H279" s="276"/>
      <c r="I279" s="379"/>
      <c r="J279" s="85"/>
      <c r="K279" s="85"/>
    </row>
    <row r="280" spans="1:11" ht="15" thickBot="1" x14ac:dyDescent="0.4">
      <c r="A280" s="15" t="s">
        <v>164</v>
      </c>
      <c r="B280" s="1"/>
      <c r="C280" s="1"/>
      <c r="D280" s="1"/>
      <c r="E280" s="1"/>
      <c r="F280" s="1"/>
      <c r="G280" s="229"/>
      <c r="H280" s="276"/>
      <c r="I280" s="374"/>
      <c r="J280" s="1"/>
      <c r="K280" s="1"/>
    </row>
    <row r="281" spans="1:11" ht="15" thickTop="1" x14ac:dyDescent="0.35">
      <c r="A281" s="109"/>
      <c r="B281" s="4"/>
      <c r="C281" s="5"/>
      <c r="D281" s="5"/>
      <c r="E281" s="169"/>
      <c r="F281" s="6" t="s">
        <v>216</v>
      </c>
      <c r="G281" s="211" t="s">
        <v>238</v>
      </c>
      <c r="H281" s="258" t="s">
        <v>239</v>
      </c>
      <c r="I281" s="303" t="s">
        <v>271</v>
      </c>
      <c r="J281" s="151" t="s">
        <v>281</v>
      </c>
      <c r="K281" s="126" t="s">
        <v>218</v>
      </c>
    </row>
    <row r="282" spans="1:11" x14ac:dyDescent="0.35">
      <c r="A282" s="34"/>
      <c r="B282" s="7" t="s">
        <v>2</v>
      </c>
      <c r="C282" s="8" t="s">
        <v>1</v>
      </c>
      <c r="D282" s="8" t="s">
        <v>1</v>
      </c>
      <c r="E282" s="7" t="s">
        <v>1</v>
      </c>
      <c r="F282" s="9" t="s">
        <v>3</v>
      </c>
      <c r="G282" s="212" t="s">
        <v>235</v>
      </c>
      <c r="H282" s="259" t="s">
        <v>5</v>
      </c>
      <c r="I282" s="304" t="s">
        <v>5</v>
      </c>
      <c r="J282" s="10" t="s">
        <v>4</v>
      </c>
      <c r="K282" s="127" t="s">
        <v>217</v>
      </c>
    </row>
    <row r="283" spans="1:11" ht="15" thickBot="1" x14ac:dyDescent="0.4">
      <c r="A283" s="101"/>
      <c r="B283" s="11" t="s">
        <v>6</v>
      </c>
      <c r="C283" s="12" t="s">
        <v>7</v>
      </c>
      <c r="D283" s="12" t="s">
        <v>8</v>
      </c>
      <c r="E283" s="12" t="s">
        <v>9</v>
      </c>
      <c r="F283" s="13" t="s">
        <v>230</v>
      </c>
      <c r="G283" s="213" t="s">
        <v>240</v>
      </c>
      <c r="H283" s="260" t="s">
        <v>236</v>
      </c>
      <c r="I283" s="305" t="s">
        <v>289</v>
      </c>
      <c r="J283" s="14" t="s">
        <v>231</v>
      </c>
      <c r="K283" s="128" t="s">
        <v>9</v>
      </c>
    </row>
    <row r="284" spans="1:11" x14ac:dyDescent="0.35">
      <c r="A284" s="23" t="s">
        <v>165</v>
      </c>
      <c r="B284" s="36">
        <v>0</v>
      </c>
      <c r="C284" s="36">
        <v>7500</v>
      </c>
      <c r="D284" s="36">
        <v>0</v>
      </c>
      <c r="E284" s="36">
        <v>0</v>
      </c>
      <c r="F284" s="89">
        <v>0</v>
      </c>
      <c r="G284" s="214"/>
      <c r="H284" s="261" t="s">
        <v>237</v>
      </c>
      <c r="I284" s="306"/>
      <c r="J284" s="90">
        <v>0</v>
      </c>
      <c r="K284" s="153">
        <v>0</v>
      </c>
    </row>
    <row r="285" spans="1:11" x14ac:dyDescent="0.35">
      <c r="A285" s="23" t="s">
        <v>166</v>
      </c>
      <c r="B285" s="36">
        <v>0</v>
      </c>
      <c r="C285" s="36">
        <v>7000</v>
      </c>
      <c r="D285" s="36">
        <v>0</v>
      </c>
      <c r="E285" s="36">
        <v>0</v>
      </c>
      <c r="F285" s="89">
        <v>0</v>
      </c>
      <c r="G285" s="245">
        <v>0</v>
      </c>
      <c r="H285" s="291">
        <v>0</v>
      </c>
      <c r="I285" s="333">
        <v>0</v>
      </c>
      <c r="J285" s="90">
        <v>0</v>
      </c>
      <c r="K285" s="153">
        <v>0</v>
      </c>
    </row>
    <row r="286" spans="1:11" ht="15" thickBot="1" x14ac:dyDescent="0.4">
      <c r="A286" s="23" t="s">
        <v>167</v>
      </c>
      <c r="B286" s="36">
        <v>0</v>
      </c>
      <c r="C286" s="36">
        <v>0</v>
      </c>
      <c r="D286" s="36">
        <v>0</v>
      </c>
      <c r="E286" s="36">
        <v>0</v>
      </c>
      <c r="F286" s="89">
        <v>0</v>
      </c>
      <c r="G286" s="245">
        <v>0</v>
      </c>
      <c r="H286" s="291">
        <v>0</v>
      </c>
      <c r="I286" s="333">
        <v>0</v>
      </c>
      <c r="J286" s="90">
        <v>0</v>
      </c>
      <c r="K286" s="153">
        <v>0</v>
      </c>
    </row>
    <row r="287" spans="1:11" ht="15" thickBot="1" x14ac:dyDescent="0.4">
      <c r="A287" s="15" t="s">
        <v>168</v>
      </c>
      <c r="B287" s="113">
        <f>SUM(B284-B285-B286)</f>
        <v>0</v>
      </c>
      <c r="C287" s="113">
        <f>SUM(C284-C285-C286)</f>
        <v>500</v>
      </c>
      <c r="D287" s="113">
        <f>SUM(D284-D285-D286)</f>
        <v>0</v>
      </c>
      <c r="E287" s="113">
        <v>0</v>
      </c>
      <c r="F287" s="114">
        <v>0</v>
      </c>
      <c r="G287" s="254">
        <v>0</v>
      </c>
      <c r="H287" s="299">
        <v>0</v>
      </c>
      <c r="I287" s="340">
        <v>0</v>
      </c>
      <c r="J287" s="115">
        <v>0</v>
      </c>
      <c r="K287" s="156">
        <f>SUM(K284-K285-K286)</f>
        <v>0</v>
      </c>
    </row>
    <row r="288" spans="1:11" x14ac:dyDescent="0.35">
      <c r="A288" s="15"/>
      <c r="B288" s="36"/>
      <c r="C288" s="36"/>
      <c r="D288" s="36"/>
      <c r="E288" s="36"/>
      <c r="F288" s="89"/>
      <c r="G288" s="245"/>
      <c r="H288" s="291"/>
      <c r="I288" s="333"/>
      <c r="J288" s="90"/>
      <c r="K288" s="153"/>
    </row>
    <row r="289" spans="1:11" x14ac:dyDescent="0.35">
      <c r="A289" s="23" t="s">
        <v>169</v>
      </c>
      <c r="B289" s="36">
        <v>3102</v>
      </c>
      <c r="C289" s="36">
        <v>3000</v>
      </c>
      <c r="D289" s="36">
        <v>3898</v>
      </c>
      <c r="E289" s="36">
        <v>3875</v>
      </c>
      <c r="F289" s="89">
        <v>3875</v>
      </c>
      <c r="G289" s="245">
        <v>0</v>
      </c>
      <c r="H289" s="291">
        <v>0</v>
      </c>
      <c r="I289" s="333">
        <v>0</v>
      </c>
      <c r="J289" s="90">
        <v>0</v>
      </c>
      <c r="K289" s="153">
        <v>3875</v>
      </c>
    </row>
    <row r="290" spans="1:11" x14ac:dyDescent="0.35">
      <c r="A290" s="23" t="s">
        <v>170</v>
      </c>
      <c r="B290" s="36">
        <v>2188</v>
      </c>
      <c r="C290" s="36">
        <v>2200</v>
      </c>
      <c r="D290" s="36">
        <v>3572</v>
      </c>
      <c r="E290" s="36">
        <v>3058</v>
      </c>
      <c r="F290" s="89">
        <v>2500</v>
      </c>
      <c r="G290" s="245">
        <v>1426</v>
      </c>
      <c r="H290" s="291">
        <v>1426</v>
      </c>
      <c r="I290" s="333">
        <v>1426</v>
      </c>
      <c r="J290" s="90">
        <v>1426</v>
      </c>
      <c r="K290" s="153">
        <v>2879</v>
      </c>
    </row>
    <row r="291" spans="1:11" ht="15" thickBot="1" x14ac:dyDescent="0.4">
      <c r="A291" s="23" t="s">
        <v>171</v>
      </c>
      <c r="B291" s="36">
        <v>359</v>
      </c>
      <c r="C291" s="36">
        <v>350</v>
      </c>
      <c r="D291" s="36">
        <v>478</v>
      </c>
      <c r="E291" s="36">
        <v>184</v>
      </c>
      <c r="F291" s="89">
        <v>250</v>
      </c>
      <c r="G291" s="245">
        <v>0</v>
      </c>
      <c r="H291" s="291">
        <v>0</v>
      </c>
      <c r="I291" s="333">
        <v>0</v>
      </c>
      <c r="J291" s="90">
        <v>0</v>
      </c>
      <c r="K291" s="153">
        <v>184</v>
      </c>
    </row>
    <row r="292" spans="1:11" ht="15" thickBot="1" x14ac:dyDescent="0.4">
      <c r="A292" s="15" t="s">
        <v>172</v>
      </c>
      <c r="B292" s="113">
        <f t="shared" ref="B292:J292" si="226">SUM(B289-B290-B291)</f>
        <v>555</v>
      </c>
      <c r="C292" s="113">
        <f t="shared" si="226"/>
        <v>450</v>
      </c>
      <c r="D292" s="113">
        <f t="shared" si="226"/>
        <v>-152</v>
      </c>
      <c r="E292" s="113">
        <f t="shared" ref="E292" si="227">SUM(E289-E290-E291)</f>
        <v>633</v>
      </c>
      <c r="F292" s="114">
        <f t="shared" si="226"/>
        <v>1125</v>
      </c>
      <c r="G292" s="254">
        <v>-1426</v>
      </c>
      <c r="H292" s="299">
        <v>-1426</v>
      </c>
      <c r="I292" s="340">
        <v>-1426</v>
      </c>
      <c r="J292" s="115">
        <f t="shared" si="226"/>
        <v>-1426</v>
      </c>
      <c r="K292" s="156">
        <f t="shared" ref="K292" si="228">SUM(K289-K290-K291)</f>
        <v>812</v>
      </c>
    </row>
    <row r="293" spans="1:11" x14ac:dyDescent="0.35">
      <c r="A293" s="15"/>
      <c r="B293" s="82"/>
      <c r="C293" s="35"/>
      <c r="D293" s="35"/>
      <c r="E293" s="82"/>
      <c r="F293" s="102"/>
      <c r="G293" s="250"/>
      <c r="H293" s="296"/>
      <c r="I293" s="337"/>
      <c r="J293" s="103"/>
      <c r="K293" s="138"/>
    </row>
    <row r="294" spans="1:11" x14ac:dyDescent="0.35">
      <c r="A294" s="23" t="s">
        <v>173</v>
      </c>
      <c r="B294" s="36">
        <v>13984</v>
      </c>
      <c r="C294" s="36">
        <v>13000</v>
      </c>
      <c r="D294" s="36">
        <v>25060</v>
      </c>
      <c r="E294" s="36">
        <v>21331</v>
      </c>
      <c r="F294" s="116">
        <v>0</v>
      </c>
      <c r="G294" s="245">
        <v>0</v>
      </c>
      <c r="H294" s="291">
        <v>0</v>
      </c>
      <c r="I294" s="333">
        <v>0</v>
      </c>
      <c r="J294" s="90">
        <v>0</v>
      </c>
      <c r="K294" s="153">
        <v>21331</v>
      </c>
    </row>
    <row r="295" spans="1:11" x14ac:dyDescent="0.35">
      <c r="A295" s="23" t="s">
        <v>174</v>
      </c>
      <c r="B295" s="36">
        <v>12765</v>
      </c>
      <c r="C295" s="36">
        <v>11000</v>
      </c>
      <c r="D295" s="36">
        <v>20466</v>
      </c>
      <c r="E295" s="36">
        <v>15658</v>
      </c>
      <c r="F295" s="116">
        <v>0</v>
      </c>
      <c r="G295" s="245">
        <v>0</v>
      </c>
      <c r="H295" s="291">
        <v>0</v>
      </c>
      <c r="I295" s="333">
        <v>0</v>
      </c>
      <c r="J295" s="90">
        <v>0</v>
      </c>
      <c r="K295" s="153">
        <v>15658</v>
      </c>
    </row>
    <row r="296" spans="1:11" ht="15" thickBot="1" x14ac:dyDescent="0.4">
      <c r="A296" s="23" t="s">
        <v>175</v>
      </c>
      <c r="B296" s="36">
        <v>761</v>
      </c>
      <c r="C296" s="36">
        <v>1600</v>
      </c>
      <c r="D296" s="36">
        <v>1396</v>
      </c>
      <c r="E296" s="36">
        <v>1133</v>
      </c>
      <c r="F296" s="116">
        <v>0</v>
      </c>
      <c r="G296" s="245">
        <v>0</v>
      </c>
      <c r="H296" s="291">
        <v>0</v>
      </c>
      <c r="I296" s="333">
        <v>0</v>
      </c>
      <c r="J296" s="90">
        <v>0</v>
      </c>
      <c r="K296" s="153">
        <v>1133</v>
      </c>
    </row>
    <row r="297" spans="1:11" ht="15" thickBot="1" x14ac:dyDescent="0.4">
      <c r="A297" s="15" t="s">
        <v>176</v>
      </c>
      <c r="B297" s="113">
        <f t="shared" ref="B297:J297" si="229">SUM(B294-B295-B296)</f>
        <v>458</v>
      </c>
      <c r="C297" s="113">
        <f t="shared" si="229"/>
        <v>400</v>
      </c>
      <c r="D297" s="113">
        <f t="shared" si="229"/>
        <v>3198</v>
      </c>
      <c r="E297" s="113">
        <f t="shared" ref="E297" si="230">SUM(E294-E295-E296)</f>
        <v>4540</v>
      </c>
      <c r="F297" s="117">
        <f t="shared" si="229"/>
        <v>0</v>
      </c>
      <c r="G297" s="254">
        <v>0</v>
      </c>
      <c r="H297" s="299">
        <v>0</v>
      </c>
      <c r="I297" s="340">
        <v>0</v>
      </c>
      <c r="J297" s="115">
        <f t="shared" si="229"/>
        <v>0</v>
      </c>
      <c r="K297" s="156">
        <f>SUM(K294-K295-K296)</f>
        <v>4540</v>
      </c>
    </row>
    <row r="298" spans="1:11" x14ac:dyDescent="0.35">
      <c r="A298" s="15"/>
      <c r="B298" s="82"/>
      <c r="C298" s="35"/>
      <c r="D298" s="35"/>
      <c r="E298" s="82"/>
      <c r="F298" s="102"/>
      <c r="G298" s="250"/>
      <c r="H298" s="296"/>
      <c r="I298" s="337"/>
      <c r="J298" s="103"/>
      <c r="K298" s="138"/>
    </row>
    <row r="299" spans="1:11" x14ac:dyDescent="0.35">
      <c r="A299" s="23" t="s">
        <v>177</v>
      </c>
      <c r="B299" s="36">
        <v>0</v>
      </c>
      <c r="C299" s="36">
        <v>0</v>
      </c>
      <c r="D299" s="36">
        <v>0</v>
      </c>
      <c r="E299" s="36"/>
      <c r="F299" s="89"/>
      <c r="G299" s="245"/>
      <c r="H299" s="291"/>
      <c r="I299" s="333"/>
      <c r="J299" s="90"/>
      <c r="K299" s="153">
        <v>0</v>
      </c>
    </row>
    <row r="300" spans="1:11" x14ac:dyDescent="0.35">
      <c r="A300" s="23" t="s">
        <v>178</v>
      </c>
      <c r="B300" s="36">
        <v>0</v>
      </c>
      <c r="C300" s="36">
        <v>0</v>
      </c>
      <c r="D300" s="36">
        <v>0</v>
      </c>
      <c r="E300" s="36"/>
      <c r="F300" s="89"/>
      <c r="G300" s="245"/>
      <c r="H300" s="291"/>
      <c r="I300" s="333"/>
      <c r="J300" s="90"/>
      <c r="K300" s="153">
        <v>0</v>
      </c>
    </row>
    <row r="301" spans="1:11" ht="15" thickBot="1" x14ac:dyDescent="0.4">
      <c r="A301" s="23" t="s">
        <v>179</v>
      </c>
      <c r="B301" s="36">
        <v>0</v>
      </c>
      <c r="C301" s="36">
        <v>0</v>
      </c>
      <c r="D301" s="36">
        <v>0</v>
      </c>
      <c r="E301" s="36"/>
      <c r="F301" s="89"/>
      <c r="G301" s="245"/>
      <c r="H301" s="291"/>
      <c r="I301" s="333"/>
      <c r="J301" s="90"/>
      <c r="K301" s="153">
        <v>0</v>
      </c>
    </row>
    <row r="302" spans="1:11" ht="15" thickBot="1" x14ac:dyDescent="0.4">
      <c r="A302" s="15" t="s">
        <v>180</v>
      </c>
      <c r="B302" s="113">
        <f t="shared" ref="B302:D302" si="231">SUM(B299-B300-B301)</f>
        <v>0</v>
      </c>
      <c r="C302" s="113">
        <f t="shared" si="231"/>
        <v>0</v>
      </c>
      <c r="D302" s="113">
        <f t="shared" si="231"/>
        <v>0</v>
      </c>
      <c r="E302" s="113"/>
      <c r="F302" s="114"/>
      <c r="G302" s="254"/>
      <c r="H302" s="299"/>
      <c r="I302" s="340"/>
      <c r="J302" s="115"/>
      <c r="K302" s="156">
        <f t="shared" ref="K302" si="232">SUM(K299-K300-K301)</f>
        <v>0</v>
      </c>
    </row>
    <row r="303" spans="1:11" x14ac:dyDescent="0.35">
      <c r="A303" s="15"/>
      <c r="B303" s="82"/>
      <c r="C303" s="35"/>
      <c r="D303" s="35"/>
      <c r="E303" s="82"/>
      <c r="F303" s="102"/>
      <c r="G303" s="250"/>
      <c r="H303" s="296"/>
      <c r="I303" s="337"/>
      <c r="J303" s="103"/>
      <c r="K303" s="138"/>
    </row>
    <row r="304" spans="1:11" x14ac:dyDescent="0.35">
      <c r="A304" s="23" t="s">
        <v>181</v>
      </c>
      <c r="B304" s="36">
        <v>10000</v>
      </c>
      <c r="C304" s="36">
        <v>10000</v>
      </c>
      <c r="D304" s="36">
        <v>10000</v>
      </c>
      <c r="E304" s="175"/>
      <c r="F304" s="122"/>
      <c r="G304" s="255"/>
      <c r="H304" s="300"/>
      <c r="I304" s="341"/>
      <c r="J304" s="123"/>
      <c r="K304" s="153">
        <v>0</v>
      </c>
    </row>
    <row r="305" spans="1:11" x14ac:dyDescent="0.35">
      <c r="A305" s="23" t="s">
        <v>182</v>
      </c>
      <c r="B305" s="36">
        <v>6181</v>
      </c>
      <c r="C305" s="36">
        <v>6000</v>
      </c>
      <c r="D305" s="36">
        <v>5017</v>
      </c>
      <c r="E305" s="175"/>
      <c r="F305" s="122"/>
      <c r="G305" s="255"/>
      <c r="H305" s="300"/>
      <c r="I305" s="341"/>
      <c r="J305" s="123"/>
      <c r="K305" s="153">
        <v>0</v>
      </c>
    </row>
    <row r="306" spans="1:11" ht="15" thickBot="1" x14ac:dyDescent="0.4">
      <c r="A306" s="23" t="s">
        <v>183</v>
      </c>
      <c r="B306" s="36">
        <v>1759</v>
      </c>
      <c r="C306" s="36">
        <v>2000</v>
      </c>
      <c r="D306" s="36">
        <v>100</v>
      </c>
      <c r="E306" s="175"/>
      <c r="F306" s="122"/>
      <c r="G306" s="255"/>
      <c r="H306" s="300"/>
      <c r="I306" s="341"/>
      <c r="J306" s="123"/>
      <c r="K306" s="153">
        <v>0</v>
      </c>
    </row>
    <row r="307" spans="1:11" ht="15" thickBot="1" x14ac:dyDescent="0.4">
      <c r="A307" s="15" t="s">
        <v>184</v>
      </c>
      <c r="B307" s="113">
        <f t="shared" ref="B307:D307" si="233">SUM(B304-B305-B306)</f>
        <v>2060</v>
      </c>
      <c r="C307" s="113">
        <f t="shared" si="233"/>
        <v>2000</v>
      </c>
      <c r="D307" s="113">
        <f t="shared" si="233"/>
        <v>4883</v>
      </c>
      <c r="E307" s="176"/>
      <c r="F307" s="124"/>
      <c r="G307" s="256"/>
      <c r="H307" s="301"/>
      <c r="I307" s="342"/>
      <c r="J307" s="125"/>
      <c r="K307" s="156">
        <f t="shared" ref="K307" si="234">SUM(K304-K305-K306)</f>
        <v>0</v>
      </c>
    </row>
    <row r="308" spans="1:11" x14ac:dyDescent="0.35">
      <c r="A308" s="15"/>
      <c r="B308" s="82"/>
      <c r="C308" s="35"/>
      <c r="D308" s="35"/>
      <c r="E308" s="82"/>
      <c r="F308" s="102"/>
      <c r="G308" s="250"/>
      <c r="H308" s="296"/>
      <c r="I308" s="337"/>
      <c r="J308" s="103"/>
      <c r="K308" s="138"/>
    </row>
    <row r="309" spans="1:11" x14ac:dyDescent="0.35">
      <c r="A309" s="23" t="s">
        <v>185</v>
      </c>
      <c r="B309" s="36">
        <v>7340</v>
      </c>
      <c r="C309" s="36">
        <v>5500</v>
      </c>
      <c r="D309" s="36">
        <v>30677</v>
      </c>
      <c r="E309" s="36">
        <v>19926</v>
      </c>
      <c r="F309" s="116">
        <v>0</v>
      </c>
      <c r="G309" s="245">
        <v>0</v>
      </c>
      <c r="H309" s="291">
        <v>0</v>
      </c>
      <c r="I309" s="333">
        <v>0</v>
      </c>
      <c r="J309" s="90">
        <v>0</v>
      </c>
      <c r="K309" s="153">
        <v>19926</v>
      </c>
    </row>
    <row r="310" spans="1:11" x14ac:dyDescent="0.35">
      <c r="A310" s="23" t="s">
        <v>186</v>
      </c>
      <c r="B310" s="36">
        <v>1649</v>
      </c>
      <c r="C310" s="36">
        <v>1000</v>
      </c>
      <c r="D310" s="36">
        <v>19275</v>
      </c>
      <c r="E310" s="36">
        <v>15642</v>
      </c>
      <c r="F310" s="116">
        <v>0</v>
      </c>
      <c r="G310" s="245">
        <v>0</v>
      </c>
      <c r="H310" s="291">
        <v>0</v>
      </c>
      <c r="I310" s="333">
        <v>0</v>
      </c>
      <c r="J310" s="90">
        <v>0</v>
      </c>
      <c r="K310" s="153">
        <v>10342</v>
      </c>
    </row>
    <row r="311" spans="1:11" ht="15" thickBot="1" x14ac:dyDescent="0.4">
      <c r="A311" s="23" t="s">
        <v>187</v>
      </c>
      <c r="B311" s="36">
        <v>0</v>
      </c>
      <c r="C311" s="36">
        <v>0</v>
      </c>
      <c r="D311" s="36">
        <v>210</v>
      </c>
      <c r="E311" s="36">
        <v>0</v>
      </c>
      <c r="F311" s="116">
        <v>0</v>
      </c>
      <c r="G311" s="245">
        <v>0</v>
      </c>
      <c r="H311" s="291">
        <v>0</v>
      </c>
      <c r="I311" s="333">
        <v>0</v>
      </c>
      <c r="J311" s="90">
        <v>0</v>
      </c>
      <c r="K311" s="153">
        <v>0</v>
      </c>
    </row>
    <row r="312" spans="1:11" ht="15" thickBot="1" x14ac:dyDescent="0.4">
      <c r="A312" s="28" t="s">
        <v>188</v>
      </c>
      <c r="B312" s="113">
        <f t="shared" ref="B312:D312" si="235">SUM(B309-B310-B311)</f>
        <v>5691</v>
      </c>
      <c r="C312" s="113">
        <f t="shared" si="235"/>
        <v>4500</v>
      </c>
      <c r="D312" s="113">
        <f t="shared" si="235"/>
        <v>11192</v>
      </c>
      <c r="E312" s="113">
        <f>SUM(E309-E310)</f>
        <v>4284</v>
      </c>
      <c r="F312" s="117">
        <v>0</v>
      </c>
      <c r="G312" s="254">
        <f>SUM(G309-G310-G311)</f>
        <v>0</v>
      </c>
      <c r="H312" s="299">
        <f>SUM(H309-H310-H311)</f>
        <v>0</v>
      </c>
      <c r="I312" s="340">
        <f>SUM(I309-I310-I311)</f>
        <v>0</v>
      </c>
      <c r="J312" s="115">
        <f>SUM(J309-J310)</f>
        <v>0</v>
      </c>
      <c r="K312" s="156">
        <f t="shared" ref="K312" si="236">SUM(K309-K310-K311)</f>
        <v>9584</v>
      </c>
    </row>
    <row r="313" spans="1:11" x14ac:dyDescent="0.35">
      <c r="A313" s="15"/>
      <c r="B313" s="36"/>
      <c r="C313" s="36"/>
      <c r="D313" s="36"/>
      <c r="E313" s="36"/>
      <c r="F313" s="89"/>
      <c r="G313" s="245"/>
      <c r="H313" s="291"/>
      <c r="I313" s="333"/>
      <c r="J313" s="90"/>
      <c r="K313" s="153"/>
    </row>
    <row r="314" spans="1:11" x14ac:dyDescent="0.35">
      <c r="A314" s="23" t="s">
        <v>189</v>
      </c>
      <c r="B314" s="36">
        <v>37064</v>
      </c>
      <c r="C314" s="36">
        <v>32500</v>
      </c>
      <c r="D314" s="36">
        <v>35877</v>
      </c>
      <c r="E314" s="36">
        <v>39731</v>
      </c>
      <c r="F314" s="89">
        <v>37000</v>
      </c>
      <c r="G314" s="245">
        <v>2000</v>
      </c>
      <c r="H314" s="291">
        <v>2000</v>
      </c>
      <c r="I314" s="333">
        <v>2000</v>
      </c>
      <c r="J314" s="90">
        <v>2000</v>
      </c>
      <c r="K314" s="153">
        <v>39731</v>
      </c>
    </row>
    <row r="315" spans="1:11" x14ac:dyDescent="0.35">
      <c r="A315" s="23" t="s">
        <v>190</v>
      </c>
      <c r="B315" s="36">
        <v>15350</v>
      </c>
      <c r="C315" s="36">
        <v>13000</v>
      </c>
      <c r="D315" s="36">
        <v>15137</v>
      </c>
      <c r="E315" s="36">
        <v>16283</v>
      </c>
      <c r="F315" s="89">
        <v>17000</v>
      </c>
      <c r="G315" s="245">
        <v>2445</v>
      </c>
      <c r="H315" s="291">
        <v>2445</v>
      </c>
      <c r="I315" s="333">
        <v>2445</v>
      </c>
      <c r="J315" s="90">
        <v>2445</v>
      </c>
      <c r="K315" s="153">
        <v>16283</v>
      </c>
    </row>
    <row r="316" spans="1:11" ht="15" thickBot="1" x14ac:dyDescent="0.4">
      <c r="A316" s="23" t="s">
        <v>191</v>
      </c>
      <c r="B316" s="36">
        <v>860</v>
      </c>
      <c r="C316" s="36">
        <v>900</v>
      </c>
      <c r="D316" s="36">
        <v>681</v>
      </c>
      <c r="E316" s="36">
        <v>542</v>
      </c>
      <c r="F316" s="89">
        <v>550</v>
      </c>
      <c r="G316" s="245">
        <v>0</v>
      </c>
      <c r="H316" s="291">
        <v>0</v>
      </c>
      <c r="I316" s="333">
        <v>0</v>
      </c>
      <c r="J316" s="90">
        <v>0</v>
      </c>
      <c r="K316" s="153">
        <v>542</v>
      </c>
    </row>
    <row r="317" spans="1:11" ht="15" thickBot="1" x14ac:dyDescent="0.4">
      <c r="A317" s="15" t="s">
        <v>192</v>
      </c>
      <c r="B317" s="113">
        <f t="shared" ref="B317:J317" si="237">SUM(B314-B315-B316)</f>
        <v>20854</v>
      </c>
      <c r="C317" s="113">
        <f t="shared" si="237"/>
        <v>18600</v>
      </c>
      <c r="D317" s="113">
        <f t="shared" si="237"/>
        <v>20059</v>
      </c>
      <c r="E317" s="113">
        <f t="shared" ref="E317" si="238">SUM(E314-E315-E316)</f>
        <v>22906</v>
      </c>
      <c r="F317" s="114">
        <f t="shared" si="237"/>
        <v>19450</v>
      </c>
      <c r="G317" s="254">
        <v>-445</v>
      </c>
      <c r="H317" s="299">
        <v>-445</v>
      </c>
      <c r="I317" s="340">
        <v>-445</v>
      </c>
      <c r="J317" s="115">
        <f t="shared" si="237"/>
        <v>-445</v>
      </c>
      <c r="K317" s="156">
        <f t="shared" ref="K317" si="239">SUM(K314-K315-K316)</f>
        <v>22906</v>
      </c>
    </row>
    <row r="318" spans="1:11" x14ac:dyDescent="0.35">
      <c r="A318" s="15"/>
      <c r="B318" s="36"/>
      <c r="C318" s="36"/>
      <c r="D318" s="36"/>
      <c r="E318" s="36"/>
      <c r="F318" s="89"/>
      <c r="G318" s="245"/>
      <c r="H318" s="291"/>
      <c r="I318" s="333"/>
      <c r="J318" s="90"/>
      <c r="K318" s="153"/>
    </row>
    <row r="319" spans="1:11" x14ac:dyDescent="0.35">
      <c r="A319" s="23" t="s">
        <v>193</v>
      </c>
      <c r="B319" s="36">
        <v>8000</v>
      </c>
      <c r="C319" s="36">
        <v>10000</v>
      </c>
      <c r="D319" s="36">
        <v>10000</v>
      </c>
      <c r="E319" s="36">
        <v>13371</v>
      </c>
      <c r="F319" s="89">
        <v>10000</v>
      </c>
      <c r="G319" s="245">
        <v>0</v>
      </c>
      <c r="H319" s="291">
        <v>0</v>
      </c>
      <c r="I319" s="333">
        <v>0</v>
      </c>
      <c r="J319" s="90">
        <v>0</v>
      </c>
      <c r="K319" s="153">
        <v>13371</v>
      </c>
    </row>
    <row r="320" spans="1:11" x14ac:dyDescent="0.35">
      <c r="A320" s="23" t="s">
        <v>194</v>
      </c>
      <c r="B320" s="36">
        <v>100</v>
      </c>
      <c r="C320" s="36"/>
      <c r="D320" s="36">
        <v>201</v>
      </c>
      <c r="E320" s="36">
        <v>3651</v>
      </c>
      <c r="F320" s="89">
        <v>500</v>
      </c>
      <c r="G320" s="245">
        <v>0</v>
      </c>
      <c r="H320" s="291">
        <v>0</v>
      </c>
      <c r="I320" s="333">
        <v>0</v>
      </c>
      <c r="J320" s="90">
        <v>0</v>
      </c>
      <c r="K320" s="153">
        <v>3651</v>
      </c>
    </row>
    <row r="321" spans="1:11" ht="15" thickBot="1" x14ac:dyDescent="0.4">
      <c r="A321" s="23" t="s">
        <v>195</v>
      </c>
      <c r="B321" s="36">
        <v>360</v>
      </c>
      <c r="C321" s="36">
        <v>300</v>
      </c>
      <c r="D321" s="36">
        <v>352</v>
      </c>
      <c r="E321" s="36">
        <v>552</v>
      </c>
      <c r="F321" s="89">
        <v>552</v>
      </c>
      <c r="G321" s="245">
        <v>0</v>
      </c>
      <c r="H321" s="291">
        <v>0</v>
      </c>
      <c r="I321" s="333">
        <v>0</v>
      </c>
      <c r="J321" s="90">
        <v>0</v>
      </c>
      <c r="K321" s="153">
        <v>552</v>
      </c>
    </row>
    <row r="322" spans="1:11" ht="15" thickBot="1" x14ac:dyDescent="0.4">
      <c r="A322" s="15" t="s">
        <v>196</v>
      </c>
      <c r="B322" s="113">
        <f t="shared" ref="B322:F322" si="240">SUM(B319-B320-B321)</f>
        <v>7540</v>
      </c>
      <c r="C322" s="113">
        <f t="shared" si="240"/>
        <v>9700</v>
      </c>
      <c r="D322" s="113">
        <f t="shared" si="240"/>
        <v>9447</v>
      </c>
      <c r="E322" s="113">
        <f t="shared" ref="E322" si="241">SUM(E319-E320-E321)</f>
        <v>9168</v>
      </c>
      <c r="F322" s="114">
        <f t="shared" si="240"/>
        <v>8948</v>
      </c>
      <c r="G322" s="254">
        <f>SUM(G319-G320-G321)</f>
        <v>0</v>
      </c>
      <c r="H322" s="299">
        <f>SUM(H319-H320-H321)</f>
        <v>0</v>
      </c>
      <c r="I322" s="340">
        <f>SUM(I319-I320-I321)</f>
        <v>0</v>
      </c>
      <c r="J322" s="115">
        <v>0</v>
      </c>
      <c r="K322" s="156">
        <f t="shared" ref="K322" si="242">SUM(K319-K320-K321)</f>
        <v>9168</v>
      </c>
    </row>
    <row r="323" spans="1:11" x14ac:dyDescent="0.35">
      <c r="A323" s="15"/>
      <c r="B323" s="36"/>
      <c r="C323" s="36"/>
      <c r="D323" s="36"/>
      <c r="E323" s="36"/>
      <c r="F323" s="89"/>
      <c r="G323" s="245"/>
      <c r="H323" s="291"/>
      <c r="I323" s="333"/>
      <c r="J323" s="90"/>
      <c r="K323" s="153"/>
    </row>
    <row r="324" spans="1:11" x14ac:dyDescent="0.35">
      <c r="A324" s="23" t="s">
        <v>197</v>
      </c>
      <c r="B324" s="36">
        <v>2281</v>
      </c>
      <c r="C324" s="36">
        <v>4000</v>
      </c>
      <c r="D324" s="36">
        <v>4000</v>
      </c>
      <c r="E324" s="36">
        <v>5060</v>
      </c>
      <c r="F324" s="89">
        <v>5000</v>
      </c>
      <c r="G324" s="245">
        <v>0</v>
      </c>
      <c r="H324" s="291">
        <v>0</v>
      </c>
      <c r="I324" s="333">
        <v>0</v>
      </c>
      <c r="J324" s="90">
        <v>0</v>
      </c>
      <c r="K324" s="153">
        <v>5060</v>
      </c>
    </row>
    <row r="325" spans="1:11" x14ac:dyDescent="0.35">
      <c r="A325" s="23" t="s">
        <v>198</v>
      </c>
      <c r="B325" s="36">
        <v>3486</v>
      </c>
      <c r="C325" s="36">
        <v>3500</v>
      </c>
      <c r="D325" s="36">
        <v>3500</v>
      </c>
      <c r="E325" s="36">
        <v>2548</v>
      </c>
      <c r="F325" s="89">
        <v>2100</v>
      </c>
      <c r="G325" s="245">
        <v>0</v>
      </c>
      <c r="H325" s="291">
        <v>0</v>
      </c>
      <c r="I325" s="333">
        <v>0</v>
      </c>
      <c r="J325" s="90">
        <v>0</v>
      </c>
      <c r="K325" s="153">
        <v>2548</v>
      </c>
    </row>
    <row r="326" spans="1:11" ht="15" thickBot="1" x14ac:dyDescent="0.4">
      <c r="A326" s="23" t="s">
        <v>199</v>
      </c>
      <c r="B326" s="36">
        <v>316</v>
      </c>
      <c r="C326" s="36">
        <v>500</v>
      </c>
      <c r="D326" s="36">
        <v>500</v>
      </c>
      <c r="E326" s="36">
        <v>0</v>
      </c>
      <c r="F326" s="89">
        <v>500</v>
      </c>
      <c r="G326" s="245">
        <v>0</v>
      </c>
      <c r="H326" s="291">
        <v>0</v>
      </c>
      <c r="I326" s="333">
        <v>0</v>
      </c>
      <c r="J326" s="90">
        <v>0</v>
      </c>
      <c r="K326" s="153">
        <v>0</v>
      </c>
    </row>
    <row r="327" spans="1:11" ht="15" thickBot="1" x14ac:dyDescent="0.4">
      <c r="A327" s="15" t="s">
        <v>200</v>
      </c>
      <c r="B327" s="113">
        <f t="shared" ref="B327:J327" si="243">SUM(B324-B325-B326)</f>
        <v>-1521</v>
      </c>
      <c r="C327" s="113">
        <f t="shared" si="243"/>
        <v>0</v>
      </c>
      <c r="D327" s="113">
        <f t="shared" si="243"/>
        <v>0</v>
      </c>
      <c r="E327" s="113">
        <f t="shared" ref="E327" si="244">SUM(E324-E325-E326)</f>
        <v>2512</v>
      </c>
      <c r="F327" s="114">
        <f t="shared" si="243"/>
        <v>2400</v>
      </c>
      <c r="G327" s="254">
        <f>SUM(G324-G325-G326)</f>
        <v>0</v>
      </c>
      <c r="H327" s="299">
        <f>SUM(H324-H325-H326)</f>
        <v>0</v>
      </c>
      <c r="I327" s="340">
        <f>SUM(I324-I325-I326)</f>
        <v>0</v>
      </c>
      <c r="J327" s="115">
        <f t="shared" si="243"/>
        <v>0</v>
      </c>
      <c r="K327" s="156">
        <f t="shared" ref="K327" si="245">SUM(K324-K325-K326)</f>
        <v>2512</v>
      </c>
    </row>
    <row r="328" spans="1:11" x14ac:dyDescent="0.35">
      <c r="A328" s="15"/>
      <c r="B328" s="36"/>
      <c r="C328" s="36"/>
      <c r="D328" s="36"/>
      <c r="E328" s="36"/>
      <c r="F328" s="89"/>
      <c r="G328" s="245"/>
      <c r="H328" s="291"/>
      <c r="I328" s="333"/>
      <c r="J328" s="90"/>
      <c r="K328" s="153"/>
    </row>
    <row r="329" spans="1:11" x14ac:dyDescent="0.35">
      <c r="A329" s="23" t="s">
        <v>201</v>
      </c>
      <c r="B329" s="36">
        <v>1520</v>
      </c>
      <c r="C329" s="36">
        <v>1500</v>
      </c>
      <c r="D329" s="36">
        <v>1180</v>
      </c>
      <c r="E329" s="36">
        <v>1440</v>
      </c>
      <c r="F329" s="89">
        <v>1500</v>
      </c>
      <c r="G329" s="245">
        <v>0</v>
      </c>
      <c r="H329" s="291">
        <v>0</v>
      </c>
      <c r="I329" s="333">
        <v>1000</v>
      </c>
      <c r="J329" s="90">
        <v>0</v>
      </c>
      <c r="K329" s="153">
        <v>1440</v>
      </c>
    </row>
    <row r="330" spans="1:11" x14ac:dyDescent="0.35">
      <c r="A330" s="23" t="s">
        <v>202</v>
      </c>
      <c r="B330" s="36">
        <v>1112</v>
      </c>
      <c r="C330" s="36">
        <v>1200</v>
      </c>
      <c r="D330" s="36">
        <v>1485</v>
      </c>
      <c r="E330" s="36">
        <v>1139</v>
      </c>
      <c r="F330" s="89">
        <v>750</v>
      </c>
      <c r="G330" s="245">
        <v>0</v>
      </c>
      <c r="H330" s="291">
        <v>0</v>
      </c>
      <c r="I330" s="333">
        <v>400</v>
      </c>
      <c r="J330" s="90">
        <v>0</v>
      </c>
      <c r="K330" s="153">
        <v>773</v>
      </c>
    </row>
    <row r="331" spans="1:11" ht="15" thickBot="1" x14ac:dyDescent="0.4">
      <c r="A331" s="23" t="s">
        <v>203</v>
      </c>
      <c r="B331" s="36">
        <v>240</v>
      </c>
      <c r="C331" s="36">
        <v>250</v>
      </c>
      <c r="D331" s="36">
        <v>64</v>
      </c>
      <c r="E331" s="36">
        <v>230</v>
      </c>
      <c r="F331" s="89">
        <v>250</v>
      </c>
      <c r="G331" s="245">
        <v>0</v>
      </c>
      <c r="H331" s="291">
        <v>0</v>
      </c>
      <c r="I331" s="333">
        <v>100</v>
      </c>
      <c r="J331" s="90">
        <v>0</v>
      </c>
      <c r="K331" s="153">
        <v>230</v>
      </c>
    </row>
    <row r="332" spans="1:11" ht="15" thickBot="1" x14ac:dyDescent="0.4">
      <c r="A332" s="15" t="s">
        <v>204</v>
      </c>
      <c r="B332" s="113">
        <f t="shared" ref="B332:F332" si="246">SUM(B329-B330-B331)</f>
        <v>168</v>
      </c>
      <c r="C332" s="113">
        <f t="shared" si="246"/>
        <v>50</v>
      </c>
      <c r="D332" s="113">
        <f t="shared" si="246"/>
        <v>-369</v>
      </c>
      <c r="E332" s="113">
        <f>SUM(E329-E330-E331)</f>
        <v>71</v>
      </c>
      <c r="F332" s="114">
        <f t="shared" si="246"/>
        <v>500</v>
      </c>
      <c r="G332" s="254">
        <f>SUM(G329-G330-G331)</f>
        <v>0</v>
      </c>
      <c r="H332" s="299">
        <f>SUM(H329-H330-H331)</f>
        <v>0</v>
      </c>
      <c r="I332" s="340">
        <f>SUM(I329-I330-I331)</f>
        <v>500</v>
      </c>
      <c r="J332" s="115">
        <f>SUM(J329-J330-J331)</f>
        <v>0</v>
      </c>
      <c r="K332" s="156">
        <f t="shared" ref="K332" si="247">SUM(K329-K330-K331)</f>
        <v>437</v>
      </c>
    </row>
    <row r="333" spans="1:11" x14ac:dyDescent="0.35">
      <c r="A333" s="15"/>
      <c r="B333" s="36"/>
      <c r="C333" s="36"/>
      <c r="D333" s="36"/>
      <c r="E333" s="36"/>
      <c r="F333" s="89"/>
      <c r="G333" s="245"/>
      <c r="H333" s="291"/>
      <c r="I333" s="333"/>
      <c r="J333" s="90"/>
      <c r="K333" s="153"/>
    </row>
    <row r="334" spans="1:11" x14ac:dyDescent="0.35">
      <c r="A334" s="23" t="s">
        <v>205</v>
      </c>
      <c r="B334" s="36">
        <v>2450</v>
      </c>
      <c r="C334" s="36">
        <v>3000</v>
      </c>
      <c r="D334" s="36">
        <v>2306</v>
      </c>
      <c r="E334" s="36">
        <v>2500</v>
      </c>
      <c r="F334" s="89">
        <v>2750</v>
      </c>
      <c r="G334" s="245">
        <v>0</v>
      </c>
      <c r="H334" s="291">
        <v>0</v>
      </c>
      <c r="I334" s="333">
        <v>0</v>
      </c>
      <c r="J334" s="90">
        <v>0</v>
      </c>
      <c r="K334" s="153">
        <v>430</v>
      </c>
    </row>
    <row r="335" spans="1:11" x14ac:dyDescent="0.35">
      <c r="A335" s="23" t="s">
        <v>206</v>
      </c>
      <c r="B335" s="36">
        <v>941</v>
      </c>
      <c r="C335" s="36">
        <v>1000</v>
      </c>
      <c r="D335" s="36">
        <v>1047</v>
      </c>
      <c r="E335" s="36">
        <v>700</v>
      </c>
      <c r="F335" s="89">
        <v>700</v>
      </c>
      <c r="G335" s="245">
        <v>0</v>
      </c>
      <c r="H335" s="291">
        <v>0</v>
      </c>
      <c r="I335" s="333">
        <v>0</v>
      </c>
      <c r="J335" s="90">
        <v>0</v>
      </c>
      <c r="K335" s="153">
        <v>255</v>
      </c>
    </row>
    <row r="336" spans="1:11" ht="15" thickBot="1" x14ac:dyDescent="0.4">
      <c r="A336" s="23" t="s">
        <v>207</v>
      </c>
      <c r="B336" s="36">
        <v>80</v>
      </c>
      <c r="C336" s="36">
        <v>200</v>
      </c>
      <c r="D336" s="36">
        <v>0</v>
      </c>
      <c r="E336" s="36">
        <v>200</v>
      </c>
      <c r="F336" s="89">
        <v>200</v>
      </c>
      <c r="G336" s="245">
        <v>0</v>
      </c>
      <c r="H336" s="291">
        <v>0</v>
      </c>
      <c r="I336" s="333">
        <v>0</v>
      </c>
      <c r="J336" s="90">
        <v>0</v>
      </c>
      <c r="K336" s="153">
        <v>0</v>
      </c>
    </row>
    <row r="337" spans="1:11" ht="15" thickBot="1" x14ac:dyDescent="0.4">
      <c r="A337" s="15" t="s">
        <v>208</v>
      </c>
      <c r="B337" s="113">
        <f t="shared" ref="B337:F337" si="248">SUM(B334-B335-B336)</f>
        <v>1429</v>
      </c>
      <c r="C337" s="113">
        <f t="shared" si="248"/>
        <v>1800</v>
      </c>
      <c r="D337" s="113">
        <f t="shared" si="248"/>
        <v>1259</v>
      </c>
      <c r="E337" s="113">
        <f t="shared" ref="E337" si="249">SUM(E334-E335-E336)</f>
        <v>1600</v>
      </c>
      <c r="F337" s="114">
        <f t="shared" si="248"/>
        <v>1850</v>
      </c>
      <c r="G337" s="254">
        <f>SUM(G334-G335-G336)</f>
        <v>0</v>
      </c>
      <c r="H337" s="299">
        <f>SUM(H334-H335-H336)</f>
        <v>0</v>
      </c>
      <c r="I337" s="340">
        <f>SUM(I334-I335-I336)</f>
        <v>0</v>
      </c>
      <c r="J337" s="115">
        <v>0</v>
      </c>
      <c r="K337" s="156">
        <f t="shared" ref="K337" si="250">SUM(K334-K335-K336)</f>
        <v>175</v>
      </c>
    </row>
    <row r="338" spans="1:11" x14ac:dyDescent="0.35">
      <c r="A338" s="15"/>
      <c r="B338" s="36"/>
      <c r="C338" s="36"/>
      <c r="D338" s="36"/>
      <c r="E338" s="36"/>
      <c r="F338" s="89"/>
      <c r="G338" s="245"/>
      <c r="H338" s="291"/>
      <c r="I338" s="333"/>
      <c r="J338" s="90"/>
      <c r="K338" s="153"/>
    </row>
    <row r="339" spans="1:11" x14ac:dyDescent="0.35">
      <c r="A339" s="23" t="s">
        <v>209</v>
      </c>
      <c r="B339" s="36">
        <v>3686</v>
      </c>
      <c r="C339" s="36"/>
      <c r="D339" s="36">
        <v>1572</v>
      </c>
      <c r="E339" s="36">
        <v>0</v>
      </c>
      <c r="F339" s="89">
        <v>0</v>
      </c>
      <c r="G339" s="245">
        <v>0</v>
      </c>
      <c r="H339" s="291">
        <v>0</v>
      </c>
      <c r="I339" s="333">
        <v>0</v>
      </c>
      <c r="J339" s="90">
        <v>0</v>
      </c>
      <c r="K339" s="153">
        <v>0</v>
      </c>
    </row>
    <row r="340" spans="1:11" ht="15" thickBot="1" x14ac:dyDescent="0.4">
      <c r="A340" s="23" t="s">
        <v>210</v>
      </c>
      <c r="B340" s="36">
        <v>6243</v>
      </c>
      <c r="C340" s="36">
        <v>13000</v>
      </c>
      <c r="D340" s="36">
        <v>13316</v>
      </c>
      <c r="E340" s="36">
        <v>7664</v>
      </c>
      <c r="F340" s="89">
        <v>6283</v>
      </c>
      <c r="G340" s="245">
        <v>0</v>
      </c>
      <c r="H340" s="291">
        <v>0</v>
      </c>
      <c r="I340" s="333">
        <v>0</v>
      </c>
      <c r="J340" s="90">
        <v>-149</v>
      </c>
      <c r="K340" s="153">
        <v>5386</v>
      </c>
    </row>
    <row r="341" spans="1:11" ht="15" thickBot="1" x14ac:dyDescent="0.4">
      <c r="A341" s="15" t="s">
        <v>211</v>
      </c>
      <c r="B341" s="113">
        <f t="shared" ref="B341:K341" si="251">SUM(B339-B340)</f>
        <v>-2557</v>
      </c>
      <c r="C341" s="113">
        <f t="shared" si="251"/>
        <v>-13000</v>
      </c>
      <c r="D341" s="113">
        <f t="shared" ref="D341:F341" si="252">SUM(D339-D340)</f>
        <v>-11744</v>
      </c>
      <c r="E341" s="113">
        <f t="shared" si="252"/>
        <v>-7664</v>
      </c>
      <c r="F341" s="114">
        <f t="shared" si="252"/>
        <v>-6283</v>
      </c>
      <c r="G341" s="254">
        <v>0</v>
      </c>
      <c r="H341" s="299">
        <v>0</v>
      </c>
      <c r="I341" s="340">
        <v>0</v>
      </c>
      <c r="J341" s="115">
        <f t="shared" si="251"/>
        <v>149</v>
      </c>
      <c r="K341" s="156">
        <f t="shared" si="251"/>
        <v>-5386</v>
      </c>
    </row>
    <row r="342" spans="1:11" x14ac:dyDescent="0.35">
      <c r="A342" s="15"/>
      <c r="B342" s="64"/>
      <c r="C342" s="64"/>
      <c r="D342" s="64"/>
      <c r="E342" s="64"/>
      <c r="F342" s="65"/>
      <c r="G342" s="229"/>
      <c r="H342" s="276"/>
      <c r="I342" s="319"/>
      <c r="J342" s="66"/>
      <c r="K342" s="159"/>
    </row>
    <row r="343" spans="1:11" x14ac:dyDescent="0.35">
      <c r="A343" s="23" t="s">
        <v>212</v>
      </c>
      <c r="B343" s="36">
        <f t="shared" ref="B343:D344" si="253">SUM(B284,B289,B294,B299,B304,B309,B314,B319,B324,B329,B334,B339)</f>
        <v>89427</v>
      </c>
      <c r="C343" s="36">
        <f t="shared" si="253"/>
        <v>90000</v>
      </c>
      <c r="D343" s="36">
        <f t="shared" si="253"/>
        <v>124570</v>
      </c>
      <c r="E343" s="36">
        <f>SUM(E289, E294, E309, E314, E319, E324, E329, E334, E339)</f>
        <v>107234</v>
      </c>
      <c r="F343" s="89">
        <f>SUM(F284,F289,F294,F299,F304,F309,F314,F319,F324,F329,F334,F339)</f>
        <v>60125</v>
      </c>
      <c r="G343" s="245">
        <f>SUM(G284,G289,G294,G299,G304,G309,G314,G319,G324,G329,G334,G339)</f>
        <v>2000</v>
      </c>
      <c r="H343" s="291">
        <f>SUM(H284,H289,H294,H299,H304,H309,H314,H319,H324,H329,H334,H339)</f>
        <v>2000</v>
      </c>
      <c r="I343" s="333">
        <f>SUM(I284,I289,I294,I299,I304,I309,I314,I319,I324,I329,I334,I339)</f>
        <v>3000</v>
      </c>
      <c r="J343" s="90">
        <f>SUM(J289, J294, J309, J314, J319, J324, J329, J334, J339)</f>
        <v>2000</v>
      </c>
      <c r="K343" s="153">
        <f t="shared" ref="K343" si="254">SUM(K284,K289,K294,K299,K304,K309,K314,K319,K324,K329,K334,K339)</f>
        <v>105164</v>
      </c>
    </row>
    <row r="344" spans="1:11" x14ac:dyDescent="0.35">
      <c r="A344" s="23" t="s">
        <v>213</v>
      </c>
      <c r="B344" s="36">
        <f t="shared" si="253"/>
        <v>50015</v>
      </c>
      <c r="C344" s="36">
        <f t="shared" si="253"/>
        <v>58900</v>
      </c>
      <c r="D344" s="36">
        <f t="shared" si="253"/>
        <v>83016</v>
      </c>
      <c r="E344" s="36">
        <f>SUM(E290, E295, E310, E315, E320, E325, E330, E335, )</f>
        <v>58679</v>
      </c>
      <c r="F344" s="89">
        <f>SUM(F290,F295,F310,F315,F320,F325,F330,F335)</f>
        <v>23550</v>
      </c>
      <c r="G344" s="245">
        <v>3871</v>
      </c>
      <c r="H344" s="291">
        <v>3871</v>
      </c>
      <c r="I344" s="333">
        <v>3871</v>
      </c>
      <c r="J344" s="90">
        <f>SUM(J290, J295, J310, J315, J320, J325, J330, J335, )</f>
        <v>3871</v>
      </c>
      <c r="K344" s="153">
        <f t="shared" ref="K344" si="255">SUM(K285,K290,K295,K300,K305,K310,K315,K320,K325,K330,K335,K340)</f>
        <v>57775</v>
      </c>
    </row>
    <row r="345" spans="1:11" ht="15" thickBot="1" x14ac:dyDescent="0.4">
      <c r="A345" s="23" t="s">
        <v>214</v>
      </c>
      <c r="B345" s="36">
        <f t="shared" ref="B345:D345" si="256">SUM(B286,B291,B296,B301,B306,B311,B316,B321,B326,B331,B336)</f>
        <v>4735</v>
      </c>
      <c r="C345" s="36">
        <f t="shared" si="256"/>
        <v>6100</v>
      </c>
      <c r="D345" s="36">
        <f t="shared" si="256"/>
        <v>3781</v>
      </c>
      <c r="E345" s="36">
        <f>SUM(E291, E296, E316, E321, E331, E340)</f>
        <v>10305</v>
      </c>
      <c r="F345" s="89">
        <f>SUM(F291,F296,F311,F316,F321,F326,F331,F336,F340)</f>
        <v>8585</v>
      </c>
      <c r="G345" s="245">
        <v>118</v>
      </c>
      <c r="H345" s="291">
        <v>118</v>
      </c>
      <c r="I345" s="333">
        <v>118</v>
      </c>
      <c r="J345" s="90">
        <v>149</v>
      </c>
      <c r="K345" s="153">
        <f t="shared" ref="K345" si="257">SUM(K286,K291,K296,K301,K306,K311,K316,K321,K326,K331,K336)</f>
        <v>2641</v>
      </c>
    </row>
    <row r="346" spans="1:11" ht="15" thickBot="1" x14ac:dyDescent="0.4">
      <c r="A346" s="15" t="s">
        <v>215</v>
      </c>
      <c r="B346" s="52">
        <f t="shared" ref="B346:D346" si="258">SUM(B343-B344-B345)</f>
        <v>34677</v>
      </c>
      <c r="C346" s="52">
        <f t="shared" si="258"/>
        <v>25000</v>
      </c>
      <c r="D346" s="52">
        <f t="shared" si="258"/>
        <v>37773</v>
      </c>
      <c r="E346" s="52">
        <f t="shared" ref="E346:J346" si="259">SUM(E343-E344-E345)</f>
        <v>38250</v>
      </c>
      <c r="F346" s="118">
        <f t="shared" si="259"/>
        <v>27990</v>
      </c>
      <c r="G346" s="257">
        <f t="shared" ref="G346" si="260">SUM(G343-G344-G345)</f>
        <v>-1989</v>
      </c>
      <c r="H346" s="302">
        <f t="shared" si="259"/>
        <v>-1989</v>
      </c>
      <c r="I346" s="343">
        <f t="shared" ref="I346" si="261">SUM(I343-I344-I345)</f>
        <v>-989</v>
      </c>
      <c r="J346" s="119">
        <f t="shared" si="259"/>
        <v>-2020</v>
      </c>
      <c r="K346" s="167">
        <f t="shared" ref="K346" si="262">SUM(K343-K344-K345)</f>
        <v>44748</v>
      </c>
    </row>
  </sheetData>
  <pageMargins left="0.25" right="0.25" top="0.75" bottom="0.75" header="0.3" footer="0.3"/>
  <pageSetup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0" sqref="C10"/>
    </sheetView>
  </sheetViews>
  <sheetFormatPr defaultRowHeight="14.5" x14ac:dyDescent="0.35"/>
  <cols>
    <col min="1" max="1" width="33.36328125" customWidth="1"/>
    <col min="2" max="2" width="12.08984375" bestFit="1" customWidth="1"/>
  </cols>
  <sheetData>
    <row r="1" spans="1:2" x14ac:dyDescent="0.35">
      <c r="A1" s="179" t="s">
        <v>282</v>
      </c>
    </row>
    <row r="3" spans="1:2" x14ac:dyDescent="0.35">
      <c r="A3" s="391" t="s">
        <v>283</v>
      </c>
      <c r="B3" s="392">
        <v>279125</v>
      </c>
    </row>
    <row r="4" spans="1:2" x14ac:dyDescent="0.35">
      <c r="A4" s="391" t="s">
        <v>273</v>
      </c>
      <c r="B4" s="392">
        <v>11501</v>
      </c>
    </row>
    <row r="5" spans="1:2" x14ac:dyDescent="0.35">
      <c r="A5" s="391" t="s">
        <v>284</v>
      </c>
      <c r="B5" s="392">
        <v>-3419</v>
      </c>
    </row>
    <row r="6" spans="1:2" ht="15" thickBot="1" x14ac:dyDescent="0.4">
      <c r="A6" s="393" t="s">
        <v>287</v>
      </c>
      <c r="B6" s="394">
        <v>-16007</v>
      </c>
    </row>
    <row r="7" spans="1:2" ht="15" thickBot="1" x14ac:dyDescent="0.4">
      <c r="A7" s="395" t="s">
        <v>285</v>
      </c>
      <c r="B7" s="396">
        <f>SUM(B3:B6)</f>
        <v>271200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>
      <selection activeCell="A12" sqref="A12"/>
    </sheetView>
  </sheetViews>
  <sheetFormatPr defaultRowHeight="14.5" x14ac:dyDescent="0.35"/>
  <cols>
    <col min="1" max="1" width="78.7265625" customWidth="1"/>
    <col min="2" max="2" width="15.7265625" style="210" customWidth="1"/>
    <col min="3" max="3" width="2.6328125" customWidth="1"/>
    <col min="4" max="4" width="19.54296875" customWidth="1"/>
    <col min="5" max="5" width="55.6328125" customWidth="1"/>
    <col min="6" max="6" width="49.26953125" customWidth="1"/>
    <col min="7" max="7" width="14" customWidth="1"/>
  </cols>
  <sheetData>
    <row r="2" spans="1:4" x14ac:dyDescent="0.35">
      <c r="A2" s="380" t="s">
        <v>275</v>
      </c>
      <c r="B2" s="345"/>
    </row>
    <row r="3" spans="1:4" x14ac:dyDescent="0.35">
      <c r="A3" s="381" t="s">
        <v>286</v>
      </c>
      <c r="B3" s="344">
        <v>271200</v>
      </c>
      <c r="D3" s="210"/>
    </row>
    <row r="4" spans="1:4" x14ac:dyDescent="0.35">
      <c r="A4" s="381" t="s">
        <v>274</v>
      </c>
      <c r="B4" s="344">
        <v>42227</v>
      </c>
      <c r="D4" s="210"/>
    </row>
    <row r="5" spans="1:4" x14ac:dyDescent="0.35">
      <c r="A5" s="382" t="s">
        <v>241</v>
      </c>
      <c r="B5" s="383">
        <f>SUM(B3:B4)</f>
        <v>313427</v>
      </c>
      <c r="D5" s="386"/>
    </row>
    <row r="6" spans="1:4" x14ac:dyDescent="0.35">
      <c r="A6" s="381" t="s">
        <v>277</v>
      </c>
      <c r="B6" s="344">
        <v>-124440</v>
      </c>
      <c r="D6" s="210"/>
    </row>
    <row r="7" spans="1:4" x14ac:dyDescent="0.35">
      <c r="A7" s="385" t="s">
        <v>280</v>
      </c>
      <c r="B7" s="383">
        <f>SUM(B5:B6)</f>
        <v>188987</v>
      </c>
      <c r="C7" t="s">
        <v>276</v>
      </c>
      <c r="D7" s="386"/>
    </row>
    <row r="8" spans="1:4" x14ac:dyDescent="0.35">
      <c r="A8" s="389"/>
      <c r="B8" s="390"/>
    </row>
    <row r="9" spans="1:4" x14ac:dyDescent="0.35">
      <c r="A9" s="403" t="s">
        <v>288</v>
      </c>
      <c r="B9" s="390"/>
    </row>
    <row r="10" spans="1:4" x14ac:dyDescent="0.35">
      <c r="A10" s="404">
        <v>3</v>
      </c>
      <c r="B10" s="405"/>
    </row>
    <row r="11" spans="1:4" x14ac:dyDescent="0.35">
      <c r="A11" s="407"/>
      <c r="B11" s="408"/>
    </row>
    <row r="12" spans="1:4" x14ac:dyDescent="0.35">
      <c r="A12" s="404"/>
      <c r="B12" s="405"/>
    </row>
    <row r="13" spans="1:4" x14ac:dyDescent="0.35">
      <c r="A13" s="404"/>
      <c r="B13" s="405"/>
    </row>
    <row r="14" spans="1:4" x14ac:dyDescent="0.35">
      <c r="A14" s="409"/>
      <c r="B14" s="410"/>
    </row>
    <row r="15" spans="1:4" x14ac:dyDescent="0.35">
      <c r="A15" s="404"/>
      <c r="B15" s="405"/>
    </row>
    <row r="16" spans="1:4" x14ac:dyDescent="0.35">
      <c r="A16" s="411"/>
      <c r="B16" s="410"/>
    </row>
    <row r="17" spans="1:2" x14ac:dyDescent="0.35">
      <c r="A17" s="412"/>
      <c r="B17" s="412"/>
    </row>
    <row r="18" spans="1:2" x14ac:dyDescent="0.35">
      <c r="A18" s="406"/>
      <c r="B18" s="406"/>
    </row>
    <row r="19" spans="1:2" x14ac:dyDescent="0.35">
      <c r="A19" s="406"/>
      <c r="B19" s="406"/>
    </row>
    <row r="20" spans="1:2" x14ac:dyDescent="0.35">
      <c r="B20"/>
    </row>
    <row r="21" spans="1:2" x14ac:dyDescent="0.35">
      <c r="B21"/>
    </row>
    <row r="22" spans="1:2" x14ac:dyDescent="0.35">
      <c r="B22"/>
    </row>
    <row r="23" spans="1:2" x14ac:dyDescent="0.35">
      <c r="B23"/>
    </row>
    <row r="24" spans="1:2" x14ac:dyDescent="0.35">
      <c r="B24"/>
    </row>
    <row r="25" spans="1:2" x14ac:dyDescent="0.35">
      <c r="B25"/>
    </row>
    <row r="26" spans="1:2" x14ac:dyDescent="0.35">
      <c r="B26"/>
    </row>
    <row r="27" spans="1:2" x14ac:dyDescent="0.35">
      <c r="B27"/>
    </row>
    <row r="28" spans="1:2" x14ac:dyDescent="0.35">
      <c r="B28"/>
    </row>
    <row r="29" spans="1:2" x14ac:dyDescent="0.35">
      <c r="B29"/>
    </row>
    <row r="30" spans="1:2" x14ac:dyDescent="0.35">
      <c r="B30"/>
    </row>
    <row r="31" spans="1:2" x14ac:dyDescent="0.35">
      <c r="B31"/>
    </row>
    <row r="32" spans="1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351" customWidth="1"/>
    <col min="2" max="2" width="23.08984375" style="351" customWidth="1"/>
    <col min="3" max="3" width="12.54296875" style="351" bestFit="1" customWidth="1"/>
    <col min="4" max="4" width="23.6328125" style="351" customWidth="1"/>
    <col min="5" max="5" width="24.36328125" style="351" customWidth="1"/>
    <col min="6" max="6" width="30.36328125" style="351" customWidth="1"/>
    <col min="7" max="16384" width="11.81640625" style="351"/>
  </cols>
  <sheetData>
    <row r="1" spans="1:6" s="350" customFormat="1" ht="46.5" x14ac:dyDescent="0.35">
      <c r="A1" s="370" t="s">
        <v>244</v>
      </c>
      <c r="B1" s="370" t="s">
        <v>245</v>
      </c>
      <c r="C1" s="370" t="s">
        <v>246</v>
      </c>
      <c r="D1" s="370" t="s">
        <v>247</v>
      </c>
      <c r="E1" s="349"/>
      <c r="F1" s="349"/>
    </row>
    <row r="2" spans="1:6" x14ac:dyDescent="0.35">
      <c r="A2" s="367" t="s">
        <v>248</v>
      </c>
      <c r="B2" s="357"/>
      <c r="C2" s="357"/>
      <c r="D2" s="357"/>
    </row>
    <row r="3" spans="1:6" x14ac:dyDescent="0.35">
      <c r="A3" s="357" t="s">
        <v>249</v>
      </c>
      <c r="B3" s="358" t="s">
        <v>250</v>
      </c>
      <c r="C3" s="358"/>
      <c r="D3" s="358">
        <v>18000</v>
      </c>
      <c r="E3" s="352"/>
      <c r="F3" s="352"/>
    </row>
    <row r="4" spans="1:6" x14ac:dyDescent="0.35">
      <c r="A4" s="357" t="s">
        <v>251</v>
      </c>
      <c r="B4" s="358" t="s">
        <v>252</v>
      </c>
      <c r="C4" s="358"/>
      <c r="D4" s="359">
        <v>11700</v>
      </c>
      <c r="E4" s="353"/>
      <c r="F4" s="353"/>
    </row>
    <row r="5" spans="1:6" x14ac:dyDescent="0.35">
      <c r="A5" s="357"/>
      <c r="B5" s="358"/>
      <c r="C5" s="360"/>
      <c r="D5" s="360">
        <f>D3-D4</f>
        <v>6300</v>
      </c>
      <c r="E5" s="354"/>
      <c r="F5" s="354"/>
    </row>
    <row r="6" spans="1:6" x14ac:dyDescent="0.35">
      <c r="A6" s="367" t="s">
        <v>253</v>
      </c>
      <c r="B6" s="358"/>
      <c r="C6" s="358"/>
      <c r="D6" s="358"/>
      <c r="E6" s="352"/>
      <c r="F6" s="352"/>
    </row>
    <row r="7" spans="1:6" x14ac:dyDescent="0.35">
      <c r="A7" s="357" t="s">
        <v>254</v>
      </c>
      <c r="B7" s="358" t="s">
        <v>250</v>
      </c>
      <c r="C7" s="358"/>
      <c r="D7" s="358">
        <v>121500</v>
      </c>
      <c r="E7" s="352"/>
      <c r="F7" s="352"/>
    </row>
    <row r="8" spans="1:6" x14ac:dyDescent="0.35">
      <c r="A8" s="357" t="s">
        <v>255</v>
      </c>
      <c r="B8" s="358" t="s">
        <v>256</v>
      </c>
      <c r="C8" s="358"/>
      <c r="D8" s="359">
        <v>20900</v>
      </c>
      <c r="E8" s="353"/>
      <c r="F8" s="353"/>
    </row>
    <row r="9" spans="1:6" x14ac:dyDescent="0.35">
      <c r="A9" s="357"/>
      <c r="B9" s="358"/>
      <c r="C9" s="360"/>
      <c r="D9" s="360">
        <f>D7-D8</f>
        <v>100600</v>
      </c>
      <c r="E9" s="354"/>
      <c r="F9" s="354"/>
    </row>
    <row r="10" spans="1:6" x14ac:dyDescent="0.35">
      <c r="A10" s="357"/>
      <c r="B10" s="358"/>
      <c r="C10" s="358"/>
      <c r="D10" s="358"/>
      <c r="E10" s="352"/>
      <c r="F10" s="352"/>
    </row>
    <row r="11" spans="1:6" x14ac:dyDescent="0.35">
      <c r="A11" s="367" t="s">
        <v>257</v>
      </c>
      <c r="B11" s="358"/>
      <c r="C11" s="358"/>
      <c r="F11" s="352"/>
    </row>
    <row r="12" spans="1:6" x14ac:dyDescent="0.35">
      <c r="A12" s="357" t="s">
        <v>258</v>
      </c>
      <c r="B12" s="358" t="s">
        <v>250</v>
      </c>
      <c r="C12" s="358"/>
      <c r="D12" s="358">
        <v>25920</v>
      </c>
      <c r="F12" s="353"/>
    </row>
    <row r="13" spans="1:6" x14ac:dyDescent="0.35">
      <c r="A13" s="357" t="s">
        <v>259</v>
      </c>
      <c r="B13" s="358" t="s">
        <v>252</v>
      </c>
      <c r="C13" s="360"/>
      <c r="D13" s="359">
        <v>19180</v>
      </c>
      <c r="F13" s="354"/>
    </row>
    <row r="14" spans="1:6" x14ac:dyDescent="0.35">
      <c r="A14" s="357"/>
      <c r="B14" s="358"/>
      <c r="C14" s="358"/>
      <c r="D14" s="360">
        <f>SUM(D12-D13)</f>
        <v>6740</v>
      </c>
      <c r="E14" s="352"/>
      <c r="F14" s="352"/>
    </row>
    <row r="15" spans="1:6" x14ac:dyDescent="0.35">
      <c r="A15" s="357"/>
      <c r="B15" s="358"/>
      <c r="C15" s="358"/>
      <c r="D15" s="358"/>
      <c r="E15" s="352"/>
      <c r="F15" s="352"/>
    </row>
    <row r="16" spans="1:6" x14ac:dyDescent="0.35">
      <c r="A16" s="357"/>
      <c r="B16" s="358"/>
      <c r="C16" s="358"/>
      <c r="D16" s="358"/>
      <c r="E16" s="352"/>
      <c r="F16" s="353"/>
    </row>
    <row r="17" spans="1:6" x14ac:dyDescent="0.35">
      <c r="A17" s="357"/>
      <c r="B17" s="358"/>
      <c r="C17" s="358"/>
      <c r="D17" s="360"/>
      <c r="E17" s="354"/>
      <c r="F17" s="354"/>
    </row>
    <row r="18" spans="1:6" x14ac:dyDescent="0.35">
      <c r="A18" s="357"/>
      <c r="B18" s="358"/>
      <c r="C18" s="358"/>
      <c r="D18" s="358"/>
      <c r="E18" s="352"/>
      <c r="F18" s="352"/>
    </row>
    <row r="19" spans="1:6" x14ac:dyDescent="0.35">
      <c r="A19" s="361" t="s">
        <v>260</v>
      </c>
      <c r="B19" s="362"/>
      <c r="C19" s="362">
        <f>SUM(C5,C9,C13,C17)</f>
        <v>0</v>
      </c>
      <c r="D19" s="363">
        <f>SUM(D5,D9,D14,D17)</f>
        <v>113640</v>
      </c>
      <c r="E19" s="352"/>
      <c r="F19" s="352"/>
    </row>
    <row r="20" spans="1:6" x14ac:dyDescent="0.35">
      <c r="A20" s="357"/>
      <c r="B20" s="358"/>
      <c r="C20" s="358"/>
      <c r="D20" s="358"/>
      <c r="E20" s="352"/>
      <c r="F20" s="352"/>
    </row>
    <row r="21" spans="1:6" x14ac:dyDescent="0.35">
      <c r="A21" s="357" t="s">
        <v>261</v>
      </c>
      <c r="B21" s="364" t="s">
        <v>262</v>
      </c>
      <c r="C21" s="358">
        <v>50207</v>
      </c>
      <c r="D21" s="358">
        <v>50207</v>
      </c>
      <c r="E21" s="352"/>
      <c r="F21" s="352"/>
    </row>
    <row r="22" spans="1:6" x14ac:dyDescent="0.35">
      <c r="A22" s="357" t="s">
        <v>263</v>
      </c>
      <c r="B22" s="358"/>
      <c r="C22" s="358">
        <v>66301</v>
      </c>
      <c r="D22" s="358">
        <f t="shared" ref="D22:D26" si="0">$C22</f>
        <v>66301</v>
      </c>
      <c r="E22" s="352"/>
      <c r="F22" s="352"/>
    </row>
    <row r="23" spans="1:6" x14ac:dyDescent="0.35">
      <c r="A23" s="357" t="s">
        <v>264</v>
      </c>
      <c r="B23" s="358" t="s">
        <v>269</v>
      </c>
      <c r="C23" s="358">
        <v>39000</v>
      </c>
      <c r="D23" s="358">
        <f t="shared" si="0"/>
        <v>39000</v>
      </c>
      <c r="E23" s="352"/>
      <c r="F23" s="352"/>
    </row>
    <row r="24" spans="1:6" x14ac:dyDescent="0.35">
      <c r="A24" s="357" t="s">
        <v>265</v>
      </c>
      <c r="B24" s="358"/>
      <c r="C24" s="358">
        <v>7359</v>
      </c>
      <c r="D24" s="358">
        <f t="shared" si="0"/>
        <v>7359</v>
      </c>
      <c r="E24" s="352"/>
      <c r="F24" s="352"/>
    </row>
    <row r="25" spans="1:6" x14ac:dyDescent="0.35">
      <c r="A25" s="357" t="s">
        <v>266</v>
      </c>
      <c r="B25" s="358"/>
      <c r="C25" s="358">
        <v>37200</v>
      </c>
      <c r="D25" s="358">
        <f t="shared" si="0"/>
        <v>37200</v>
      </c>
      <c r="E25" s="352"/>
      <c r="F25" s="352"/>
    </row>
    <row r="26" spans="1:6" x14ac:dyDescent="0.35">
      <c r="A26" s="357"/>
      <c r="B26" s="358"/>
      <c r="C26" s="358"/>
      <c r="D26" s="358">
        <f t="shared" si="0"/>
        <v>0</v>
      </c>
      <c r="E26" s="352"/>
      <c r="F26" s="352"/>
    </row>
    <row r="27" spans="1:6" x14ac:dyDescent="0.35">
      <c r="A27" s="357"/>
      <c r="B27" s="358"/>
      <c r="C27" s="359"/>
      <c r="D27" s="359"/>
      <c r="E27" s="353"/>
      <c r="F27" s="353"/>
    </row>
    <row r="28" spans="1:6" x14ac:dyDescent="0.35">
      <c r="A28" s="361" t="s">
        <v>267</v>
      </c>
      <c r="B28" s="362"/>
      <c r="C28" s="365">
        <f>SUM(C21:C27)</f>
        <v>200067</v>
      </c>
      <c r="D28" s="366">
        <f t="shared" ref="D28" si="1">SUM(D21:D27)</f>
        <v>200067</v>
      </c>
      <c r="E28" s="354"/>
      <c r="F28" s="354"/>
    </row>
    <row r="29" spans="1:6" x14ac:dyDescent="0.35">
      <c r="A29" s="357"/>
      <c r="B29" s="357"/>
      <c r="C29" s="357"/>
      <c r="D29" s="357"/>
    </row>
    <row r="30" spans="1:6" s="355" customFormat="1" ht="16" thickBot="1" x14ac:dyDescent="0.4">
      <c r="A30" s="368" t="s">
        <v>268</v>
      </c>
      <c r="B30" s="368"/>
      <c r="C30" s="369">
        <f>C19-C28</f>
        <v>-200067</v>
      </c>
      <c r="D30" s="369">
        <f t="shared" ref="D30" si="2">D19-D28</f>
        <v>-86427</v>
      </c>
      <c r="E30" s="356"/>
      <c r="F30" s="356"/>
    </row>
    <row r="31" spans="1:6" ht="16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</vt:lpstr>
      <vt:lpstr>Funds on Hand to Date</vt:lpstr>
      <vt:lpstr>Cash flow report through year</vt:lpstr>
      <vt:lpstr>12 week burn of expenses</vt:lpstr>
      <vt:lpstr>'Financials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2021-01-11T18:40:53Z</cp:lastPrinted>
  <dcterms:created xsi:type="dcterms:W3CDTF">2019-05-16T23:45:36Z</dcterms:created>
  <dcterms:modified xsi:type="dcterms:W3CDTF">2021-01-15T21:51:11Z</dcterms:modified>
</cp:coreProperties>
</file>